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3/12. Diciembre/Caso HOLA 2937/"/>
    </mc:Choice>
  </mc:AlternateContent>
  <xr:revisionPtr revIDLastSave="2" documentId="8_{F922A66F-FACE-46D6-81A2-9DD8FF705D6B}" xr6:coauthVersionLast="47" xr6:coauthVersionMax="47" xr10:uidLastSave="{B7445559-0192-41F8-8D83-D5549C1CEA6A}"/>
  <bookViews>
    <workbookView xWindow="-120" yWindow="-120" windowWidth="29040" windowHeight="15840" tabRatio="882" firstSheet="1" activeTab="2" xr2:uid="{00000000-000D-0000-FFFF-FFFF00000000}"/>
  </bookViews>
  <sheets>
    <sheet name="Instructivo" sheetId="20" r:id="rId1"/>
    <sheet name="Contexto proceso" sheetId="21" r:id="rId2"/>
    <sheet name="Mapa final" sheetId="1" r:id="rId3"/>
    <sheet name="Impacto-clasificacion" sheetId="22" state="hidden" r:id="rId4"/>
    <sheet name="Matriz Calor Inherente" sheetId="18" r:id="rId5"/>
    <sheet name="Matriz Calor Residual" sheetId="19" r:id="rId6"/>
    <sheet name="Tabla probabilidad" sheetId="12" r:id="rId7"/>
    <sheet name="Tabla Impacto" sheetId="13" r:id="rId8"/>
    <sheet name="Criterios riesgos amb." sheetId="23" r:id="rId9"/>
    <sheet name="Tabla Valoración controles" sheetId="15" r:id="rId10"/>
    <sheet name="Opciones Tratamiento" sheetId="16" state="hidden" r:id="rId11"/>
    <sheet name="Hoja1" sheetId="11" state="hidden" r:id="rId12"/>
  </sheets>
  <externalReferences>
    <externalReference r:id="rId13"/>
    <externalReference r:id="rId14"/>
    <externalReference r:id="rId15"/>
    <externalReference r:id="rId16"/>
    <externalReference r:id="rId17"/>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8"/>
  <pivotCaches>
    <pivotCache cacheId="0" r:id="rId1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1" i="1" l="1"/>
  <c r="L41" i="1"/>
  <c r="M41" i="1" s="1"/>
  <c r="N41" i="1"/>
  <c r="K40" i="1"/>
  <c r="K41" i="1"/>
  <c r="I41" i="1"/>
  <c r="T39" i="1"/>
  <c r="Q39" i="1"/>
  <c r="L39" i="1"/>
  <c r="N39" i="1" s="1"/>
  <c r="K39" i="1"/>
  <c r="T37" i="1"/>
  <c r="Q37" i="1"/>
  <c r="K37" i="1"/>
  <c r="L37" i="1" s="1"/>
  <c r="Q36" i="1"/>
  <c r="T36" i="1"/>
  <c r="X38" i="1"/>
  <c r="X40" i="1"/>
  <c r="X42" i="1"/>
  <c r="K36" i="1"/>
  <c r="L36" i="1" s="1"/>
  <c r="M36" i="1" s="1"/>
  <c r="H37" i="1"/>
  <c r="I37" i="1" s="1"/>
  <c r="X37" i="1" s="1"/>
  <c r="Y37" i="1" s="1"/>
  <c r="H39" i="1"/>
  <c r="I39" i="1" s="1"/>
  <c r="H41" i="1"/>
  <c r="H36" i="1"/>
  <c r="N36" i="1" s="1"/>
  <c r="J4" i="23"/>
  <c r="T24" i="1"/>
  <c r="Q24" i="1"/>
  <c r="H24" i="1"/>
  <c r="K53" i="1"/>
  <c r="K50" i="1"/>
  <c r="K48" i="1"/>
  <c r="K60" i="1"/>
  <c r="K28" i="1"/>
  <c r="K32" i="1"/>
  <c r="K51" i="1"/>
  <c r="K45" i="1"/>
  <c r="K34" i="1"/>
  <c r="K54" i="1"/>
  <c r="K47" i="1"/>
  <c r="K56" i="1"/>
  <c r="K57" i="1"/>
  <c r="K46" i="1"/>
  <c r="K29" i="1"/>
  <c r="K58" i="1"/>
  <c r="K59" i="1"/>
  <c r="K44" i="1"/>
  <c r="K52" i="1"/>
  <c r="F221" i="13"/>
  <c r="F211" i="13"/>
  <c r="F212" i="13"/>
  <c r="F213" i="13"/>
  <c r="F214" i="13"/>
  <c r="F215" i="13"/>
  <c r="F216" i="13"/>
  <c r="F217" i="13"/>
  <c r="F218" i="13"/>
  <c r="F219" i="13"/>
  <c r="F220" i="13"/>
  <c r="F210" i="13"/>
  <c r="K25" i="1"/>
  <c r="K26" i="1"/>
  <c r="B221" i="13" a="1"/>
  <c r="B221" i="13"/>
  <c r="Q43"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0" i="1"/>
  <c r="Q60" i="1"/>
  <c r="T59" i="1"/>
  <c r="Q59" i="1"/>
  <c r="T58" i="1"/>
  <c r="Q58" i="1"/>
  <c r="T57" i="1"/>
  <c r="Q57" i="1"/>
  <c r="T56" i="1"/>
  <c r="Q56" i="1"/>
  <c r="T55" i="1"/>
  <c r="Q55" i="1"/>
  <c r="AB55" i="1" s="1"/>
  <c r="AA55" i="1" s="1"/>
  <c r="H55" i="1"/>
  <c r="I55" i="1" s="1"/>
  <c r="T54" i="1"/>
  <c r="Q54" i="1"/>
  <c r="T53" i="1"/>
  <c r="Q53" i="1"/>
  <c r="T52" i="1"/>
  <c r="Q52" i="1"/>
  <c r="T51" i="1"/>
  <c r="Q51" i="1"/>
  <c r="T50" i="1"/>
  <c r="Q50" i="1"/>
  <c r="T49" i="1"/>
  <c r="Q49" i="1"/>
  <c r="H49" i="1"/>
  <c r="T48" i="1"/>
  <c r="Q48" i="1"/>
  <c r="T47" i="1"/>
  <c r="Q47" i="1"/>
  <c r="T46" i="1"/>
  <c r="Q46" i="1"/>
  <c r="T45" i="1"/>
  <c r="Q45" i="1"/>
  <c r="T44" i="1"/>
  <c r="Q44" i="1"/>
  <c r="T43" i="1"/>
  <c r="H43" i="1"/>
  <c r="T41" i="1"/>
  <c r="T35" i="1"/>
  <c r="Q35" i="1"/>
  <c r="H35" i="1"/>
  <c r="I35" i="1" s="1"/>
  <c r="T33" i="1"/>
  <c r="Q33" i="1"/>
  <c r="H33" i="1"/>
  <c r="T31" i="1"/>
  <c r="Q31" i="1"/>
  <c r="H31" i="1"/>
  <c r="I31" i="1" s="1"/>
  <c r="T30" i="1"/>
  <c r="Q30" i="1"/>
  <c r="H30" i="1"/>
  <c r="I30" i="1" s="1"/>
  <c r="H27" i="1"/>
  <c r="T29" i="1"/>
  <c r="Q29" i="1"/>
  <c r="T28" i="1"/>
  <c r="Q28" i="1"/>
  <c r="T27" i="1"/>
  <c r="Q27"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K35" i="1"/>
  <c r="L35" i="1" s="1"/>
  <c r="M35" i="1" s="1"/>
  <c r="K24" i="1"/>
  <c r="L24" i="1" s="1"/>
  <c r="M24" i="1" s="1"/>
  <c r="K31" i="1"/>
  <c r="L31" i="1" s="1"/>
  <c r="K30" i="1"/>
  <c r="L30" i="1" s="1"/>
  <c r="K43" i="1"/>
  <c r="L43" i="1" s="1"/>
  <c r="K33" i="1"/>
  <c r="L33" i="1" s="1"/>
  <c r="M33" i="1" s="1"/>
  <c r="K27" i="1"/>
  <c r="L27" i="1" s="1"/>
  <c r="K55" i="1"/>
  <c r="L55" i="1" s="1"/>
  <c r="M55" i="1" s="1"/>
  <c r="K49" i="1"/>
  <c r="L49" i="1" s="1"/>
  <c r="X41" i="1" l="1"/>
  <c r="X36" i="1"/>
  <c r="Y36" i="1" s="1"/>
  <c r="AB36" i="1"/>
  <c r="AA36" i="1" s="1"/>
  <c r="X39" i="1"/>
  <c r="Y39" i="1" s="1"/>
  <c r="I36" i="1"/>
  <c r="AB39" i="1"/>
  <c r="AA39" i="1" s="1"/>
  <c r="AC39" i="1" s="1"/>
  <c r="Z39" i="1"/>
  <c r="M39" i="1"/>
  <c r="AC37" i="1"/>
  <c r="Z37" i="1"/>
  <c r="N37" i="1"/>
  <c r="M37" i="1"/>
  <c r="AB37" i="1" s="1"/>
  <c r="AA37" i="1" s="1"/>
  <c r="AC36" i="1"/>
  <c r="Z36" i="1"/>
  <c r="Y41" i="1"/>
  <c r="AB33" i="1"/>
  <c r="AA33" i="1" s="1"/>
  <c r="X55" i="1"/>
  <c r="V12" i="18"/>
  <c r="AH20" i="18"/>
  <c r="X30" i="1"/>
  <c r="Y30" i="1" s="1"/>
  <c r="AB34" i="18"/>
  <c r="AB36" i="18"/>
  <c r="AB44" i="18"/>
  <c r="J44" i="18"/>
  <c r="AB41" i="1"/>
  <c r="AA41" i="1" s="1"/>
  <c r="V20" i="18"/>
  <c r="AH36" i="18"/>
  <c r="P12" i="18"/>
  <c r="V34" i="18"/>
  <c r="X44" i="1"/>
  <c r="Y44" i="1" s="1"/>
  <c r="AL32" i="18"/>
  <c r="AB20" i="18"/>
  <c r="J36" i="18"/>
  <c r="J20" i="18"/>
  <c r="AB43" i="1"/>
  <c r="AA43" i="1" s="1"/>
  <c r="X43" i="1"/>
  <c r="AB45" i="1"/>
  <c r="AA45" i="1" s="1"/>
  <c r="AB48" i="1"/>
  <c r="AA48" i="1" s="1"/>
  <c r="AD38" i="18"/>
  <c r="J12" i="18"/>
  <c r="V36" i="18"/>
  <c r="AH44" i="18"/>
  <c r="J28" i="18"/>
  <c r="P20" i="18"/>
  <c r="N55" i="1"/>
  <c r="AB24" i="1"/>
  <c r="AA24" i="1" s="1"/>
  <c r="AH12" i="18"/>
  <c r="AH28" i="18"/>
  <c r="V28" i="18"/>
  <c r="V44" i="18"/>
  <c r="AB12" i="18"/>
  <c r="AB28" i="18"/>
  <c r="J26" i="18"/>
  <c r="I27" i="1"/>
  <c r="AG36" i="19"/>
  <c r="V6" i="18"/>
  <c r="N14" i="18"/>
  <c r="M30" i="1"/>
  <c r="AB30" i="1" s="1"/>
  <c r="AA30" i="1" s="1"/>
  <c r="T38" i="18"/>
  <c r="Z22" i="18"/>
  <c r="T22" i="18"/>
  <c r="T30" i="18"/>
  <c r="AF38" i="18"/>
  <c r="R40" i="18"/>
  <c r="AL26" i="18"/>
  <c r="J6" i="18"/>
  <c r="J40" i="18"/>
  <c r="P16" i="18"/>
  <c r="AH40" i="18"/>
  <c r="V16" i="18"/>
  <c r="P40" i="18"/>
  <c r="AB24" i="18"/>
  <c r="J8" i="18"/>
  <c r="M43" i="1"/>
  <c r="L10" i="18"/>
  <c r="L18" i="18"/>
  <c r="J14" i="18"/>
  <c r="Z38" i="18"/>
  <c r="T6" i="18"/>
  <c r="AF22" i="18"/>
  <c r="AL38" i="18"/>
  <c r="P26" i="18"/>
  <c r="P10" i="18"/>
  <c r="AJ6" i="18"/>
  <c r="Z8" i="18"/>
  <c r="AF8" i="18"/>
  <c r="P36" i="18"/>
  <c r="P44" i="18"/>
  <c r="P28" i="18"/>
  <c r="Z14" i="18"/>
  <c r="AL22" i="18"/>
  <c r="N30" i="1"/>
  <c r="T14" i="18"/>
  <c r="V10" i="18"/>
  <c r="L6" i="18"/>
  <c r="X14" i="18"/>
  <c r="AJ22" i="18"/>
  <c r="R30" i="18"/>
  <c r="L30" i="18"/>
  <c r="X30" i="18"/>
  <c r="I49" i="1"/>
  <c r="T26" i="18"/>
  <c r="AL18" i="18"/>
  <c r="AF42" i="18"/>
  <c r="L34" i="18"/>
  <c r="AD6" i="18"/>
  <c r="X6" i="18"/>
  <c r="N35" i="1"/>
  <c r="T32" i="18"/>
  <c r="AL24" i="18"/>
  <c r="T40" i="18"/>
  <c r="N49" i="1"/>
  <c r="J32" i="18"/>
  <c r="V8" i="18"/>
  <c r="V24" i="18"/>
  <c r="R14" i="18"/>
  <c r="Z42" i="18"/>
  <c r="AB46" i="1"/>
  <c r="AA46" i="1" s="1"/>
  <c r="AJ16" i="18"/>
  <c r="AJ24" i="18"/>
  <c r="L32" i="18"/>
  <c r="AD40" i="18"/>
  <c r="I43" i="1"/>
  <c r="AD42" i="18"/>
  <c r="X26" i="18"/>
  <c r="X42" i="18"/>
  <c r="X47" i="1"/>
  <c r="Z47" i="1" s="1"/>
  <c r="AB47" i="1"/>
  <c r="AA47" i="1" s="1"/>
  <c r="N24" i="1"/>
  <c r="P14" i="18"/>
  <c r="AB22" i="18"/>
  <c r="P30" i="18"/>
  <c r="AB38" i="18"/>
  <c r="P22" i="18"/>
  <c r="AH6" i="18"/>
  <c r="AF16" i="18"/>
  <c r="N16" i="18"/>
  <c r="AL8" i="18"/>
  <c r="V38" i="18"/>
  <c r="AB40" i="18"/>
  <c r="M31" i="1"/>
  <c r="AB31" i="1" s="1"/>
  <c r="AA31" i="1" s="1"/>
  <c r="P24" i="18"/>
  <c r="V32" i="18"/>
  <c r="AH24" i="18"/>
  <c r="AB32" i="18"/>
  <c r="P8" i="18"/>
  <c r="AH32" i="18"/>
  <c r="J16" i="18"/>
  <c r="AH16" i="18"/>
  <c r="AH8" i="18"/>
  <c r="N31" i="1"/>
  <c r="V40" i="18"/>
  <c r="AB8" i="18"/>
  <c r="AL16" i="18"/>
  <c r="N24" i="18"/>
  <c r="T24" i="18"/>
  <c r="AF32" i="18"/>
  <c r="J30" i="18"/>
  <c r="AL34" i="18"/>
  <c r="J24" i="18"/>
  <c r="AB16" i="18"/>
  <c r="P32" i="18"/>
  <c r="X34" i="18"/>
  <c r="L38" i="18"/>
  <c r="N27" i="1"/>
  <c r="AF40" i="18"/>
  <c r="N32" i="18"/>
  <c r="Z40" i="18"/>
  <c r="AF24" i="18"/>
  <c r="AB10" i="18"/>
  <c r="AB26" i="18"/>
  <c r="AB18" i="18"/>
  <c r="X25" i="1"/>
  <c r="Z41" i="1"/>
  <c r="X46" i="1"/>
  <c r="X48" i="1"/>
  <c r="Y48" i="1" s="1"/>
  <c r="Z24" i="18"/>
  <c r="N8" i="18"/>
  <c r="Z16" i="18"/>
  <c r="N40" i="18"/>
  <c r="T16" i="18"/>
  <c r="AL40" i="18"/>
  <c r="Z32" i="18"/>
  <c r="T8" i="18"/>
  <c r="V18" i="18"/>
  <c r="J10" i="18"/>
  <c r="AH42" i="18"/>
  <c r="P34" i="18"/>
  <c r="X26" i="1"/>
  <c r="I33" i="1"/>
  <c r="X33" i="1" s="1"/>
  <c r="Y33" i="1" s="1"/>
  <c r="AB10" i="19" s="1"/>
  <c r="L8" i="18"/>
  <c r="AD24" i="18"/>
  <c r="N33" i="1"/>
  <c r="AJ8" i="18"/>
  <c r="R32" i="18"/>
  <c r="AJ32" i="18"/>
  <c r="T42" i="18"/>
  <c r="T10" i="18"/>
  <c r="Z26" i="18"/>
  <c r="N26" i="18"/>
  <c r="N18" i="18"/>
  <c r="AL10" i="18"/>
  <c r="AF34" i="18"/>
  <c r="R42" i="18"/>
  <c r="R34" i="18"/>
  <c r="AJ10" i="18"/>
  <c r="X18" i="18"/>
  <c r="AD26" i="18"/>
  <c r="R16" i="18"/>
  <c r="L24" i="18"/>
  <c r="X40" i="18"/>
  <c r="R24" i="18"/>
  <c r="X53" i="1"/>
  <c r="X54" i="1"/>
  <c r="AB54" i="1"/>
  <c r="AA54" i="1" s="1"/>
  <c r="AB53" i="1"/>
  <c r="AA53" i="1" s="1"/>
  <c r="X57" i="1"/>
  <c r="AB57" i="1"/>
  <c r="AA57" i="1" s="1"/>
  <c r="X56" i="1"/>
  <c r="AB56" i="1"/>
  <c r="AA56" i="1" s="1"/>
  <c r="X60" i="1"/>
  <c r="AB60" i="1"/>
  <c r="AA60" i="1" s="1"/>
  <c r="P6" i="18"/>
  <c r="J22" i="18"/>
  <c r="J38" i="18"/>
  <c r="AB6" i="18"/>
  <c r="AB14" i="18"/>
  <c r="AH38" i="18"/>
  <c r="V14" i="18"/>
  <c r="N34" i="18"/>
  <c r="Z34" i="18"/>
  <c r="AF18" i="18"/>
  <c r="T34" i="18"/>
  <c r="Z10" i="18"/>
  <c r="Z18" i="18"/>
  <c r="T18" i="18"/>
  <c r="AL6" i="18"/>
  <c r="AF30" i="18"/>
  <c r="AL30" i="18"/>
  <c r="AF6" i="18"/>
  <c r="N22" i="18"/>
  <c r="Z6" i="18"/>
  <c r="N43" i="1"/>
  <c r="R10" i="18"/>
  <c r="AD18" i="18"/>
  <c r="R26" i="18"/>
  <c r="R18" i="18"/>
  <c r="L26" i="18"/>
  <c r="AD10" i="18"/>
  <c r="P18" i="18"/>
  <c r="J34" i="18"/>
  <c r="V26" i="18"/>
  <c r="V42" i="18"/>
  <c r="AH34" i="18"/>
  <c r="J42" i="18"/>
  <c r="AD16" i="18"/>
  <c r="AJ40" i="18"/>
  <c r="X16" i="18"/>
  <c r="X24" i="18"/>
  <c r="AD8" i="18"/>
  <c r="L16" i="18"/>
  <c r="X27" i="1"/>
  <c r="X49" i="1"/>
  <c r="AB50" i="1"/>
  <c r="AA50" i="1" s="1"/>
  <c r="AB49" i="1"/>
  <c r="AA49" i="1" s="1"/>
  <c r="X50" i="1"/>
  <c r="X51" i="1"/>
  <c r="X52" i="1"/>
  <c r="AB51" i="1"/>
  <c r="AA51" i="1" s="1"/>
  <c r="AB52" i="1"/>
  <c r="AA52" i="1" s="1"/>
  <c r="X58" i="1"/>
  <c r="X59" i="1"/>
  <c r="AB58" i="1"/>
  <c r="AA58" i="1" s="1"/>
  <c r="AB59" i="1"/>
  <c r="AA59" i="1" s="1"/>
  <c r="AH22" i="18"/>
  <c r="AB30" i="18"/>
  <c r="AH30" i="18"/>
  <c r="P38" i="18"/>
  <c r="V30" i="18"/>
  <c r="AH14" i="18"/>
  <c r="V22" i="18"/>
  <c r="AL42" i="18"/>
  <c r="M49" i="1"/>
  <c r="N10" i="18"/>
  <c r="AF10" i="18"/>
  <c r="AF26" i="18"/>
  <c r="N42" i="18"/>
  <c r="N30" i="18"/>
  <c r="Z30" i="18"/>
  <c r="AF14" i="18"/>
  <c r="N38" i="18"/>
  <c r="N6" i="18"/>
  <c r="AL14" i="18"/>
  <c r="AJ18" i="18"/>
  <c r="AJ42" i="18"/>
  <c r="AJ26" i="18"/>
  <c r="AJ34" i="18"/>
  <c r="X10" i="18"/>
  <c r="L42" i="18"/>
  <c r="AD34" i="18"/>
  <c r="AH10" i="18"/>
  <c r="J18" i="18"/>
  <c r="AH18" i="18"/>
  <c r="AH26" i="18"/>
  <c r="P42" i="18"/>
  <c r="AB42" i="18"/>
  <c r="AD32" i="18"/>
  <c r="X32" i="18"/>
  <c r="L40" i="18"/>
  <c r="X8" i="18"/>
  <c r="R8" i="18"/>
  <c r="AJ30" i="18"/>
  <c r="X22" i="18"/>
  <c r="AD22" i="18"/>
  <c r="R38" i="18"/>
  <c r="AD30" i="18"/>
  <c r="L14" i="18"/>
  <c r="AD14" i="18"/>
  <c r="R22" i="18"/>
  <c r="X38" i="18"/>
  <c r="M27" i="1"/>
  <c r="AB27" i="1" s="1"/>
  <c r="AJ14" i="18"/>
  <c r="AJ38" i="18"/>
  <c r="L22" i="18"/>
  <c r="R6" i="18"/>
  <c r="Y55" i="1"/>
  <c r="Z55" i="1"/>
  <c r="X35" i="1"/>
  <c r="AB35" i="1"/>
  <c r="AA35" i="1" s="1"/>
  <c r="X31" i="1"/>
  <c r="X32" i="1"/>
  <c r="X34" i="1"/>
  <c r="AB44" i="1"/>
  <c r="AA44" i="1" s="1"/>
  <c r="X45" i="1"/>
  <c r="I24" i="1"/>
  <c r="X24" i="1" s="1"/>
  <c r="O6" i="19"/>
  <c r="AG6" i="19"/>
  <c r="O36" i="19"/>
  <c r="AM6" i="19"/>
  <c r="AM46" i="19"/>
  <c r="AA36" i="19"/>
  <c r="AA16" i="19"/>
  <c r="AA46" i="19"/>
  <c r="U26" i="19"/>
  <c r="U46" i="19"/>
  <c r="O26" i="19"/>
  <c r="U36" i="19"/>
  <c r="AM16" i="19"/>
  <c r="AM26" i="19"/>
  <c r="O46" i="19"/>
  <c r="AG26" i="19"/>
  <c r="AM36" i="19"/>
  <c r="AG16" i="19"/>
  <c r="U6" i="19"/>
  <c r="AA6" i="19"/>
  <c r="U16" i="19"/>
  <c r="AA26" i="19"/>
  <c r="O16" i="19"/>
  <c r="AG46" i="19"/>
  <c r="AH42" i="19" l="1"/>
  <c r="Z44" i="1"/>
  <c r="AB42" i="19"/>
  <c r="V40" i="19"/>
  <c r="Y47" i="1"/>
  <c r="T43" i="19" s="1"/>
  <c r="Z30" i="1"/>
  <c r="P32" i="19"/>
  <c r="AA27" i="1"/>
  <c r="AB28" i="1"/>
  <c r="AA28" i="1" s="1"/>
  <c r="J50" i="19"/>
  <c r="AC33" i="1"/>
  <c r="V22" i="19"/>
  <c r="V32" i="19"/>
  <c r="J20" i="19"/>
  <c r="AB30" i="19"/>
  <c r="J30" i="19"/>
  <c r="AH12" i="19"/>
  <c r="P52" i="19"/>
  <c r="AH30" i="19"/>
  <c r="Y24" i="1"/>
  <c r="AH26" i="19" s="1"/>
  <c r="Z24" i="1"/>
  <c r="Z43" i="1"/>
  <c r="Y43" i="1"/>
  <c r="J32" i="19"/>
  <c r="AC41" i="1"/>
  <c r="AB32" i="19"/>
  <c r="J42" i="19"/>
  <c r="AH52" i="19"/>
  <c r="AB52" i="19"/>
  <c r="J52" i="19"/>
  <c r="J22" i="19"/>
  <c r="AB22" i="19"/>
  <c r="P12" i="19"/>
  <c r="V52" i="19"/>
  <c r="P22" i="19"/>
  <c r="AH32" i="19"/>
  <c r="V12" i="19"/>
  <c r="J12" i="19"/>
  <c r="AB12" i="19"/>
  <c r="AH22" i="19"/>
  <c r="P42" i="19"/>
  <c r="V42" i="19"/>
  <c r="X16" i="19"/>
  <c r="AH50" i="19"/>
  <c r="AB20" i="19"/>
  <c r="V10" i="19"/>
  <c r="V20" i="19"/>
  <c r="AH40" i="19"/>
  <c r="P20" i="19"/>
  <c r="Z33" i="1"/>
  <c r="AF9" i="19"/>
  <c r="P30" i="19"/>
  <c r="AB40" i="19"/>
  <c r="J10" i="19"/>
  <c r="J40" i="19"/>
  <c r="V50" i="19"/>
  <c r="K46" i="19"/>
  <c r="AH10" i="19"/>
  <c r="AH20" i="19"/>
  <c r="V30" i="19"/>
  <c r="P50" i="19"/>
  <c r="P40" i="19"/>
  <c r="AB50" i="19"/>
  <c r="P10" i="19"/>
  <c r="AI36" i="19"/>
  <c r="Q16" i="19"/>
  <c r="K26" i="19"/>
  <c r="Q6" i="19"/>
  <c r="AC46" i="19"/>
  <c r="AD9" i="19"/>
  <c r="AC6" i="19"/>
  <c r="AI6" i="19"/>
  <c r="O20" i="19"/>
  <c r="K16" i="19"/>
  <c r="W36" i="19"/>
  <c r="K36" i="19"/>
  <c r="AC16" i="19"/>
  <c r="Q46" i="19"/>
  <c r="Q36" i="19"/>
  <c r="K6" i="19"/>
  <c r="AI26" i="19"/>
  <c r="W46" i="19"/>
  <c r="W26" i="19"/>
  <c r="AI46" i="19"/>
  <c r="Z48" i="1"/>
  <c r="AA31" i="19"/>
  <c r="AM11" i="19"/>
  <c r="AM51" i="19"/>
  <c r="U41" i="19"/>
  <c r="AA21" i="19"/>
  <c r="AA11" i="19"/>
  <c r="O21" i="19"/>
  <c r="AG51" i="19"/>
  <c r="AG41" i="19"/>
  <c r="AG11" i="19"/>
  <c r="U51" i="19"/>
  <c r="O11" i="19"/>
  <c r="AM31" i="19"/>
  <c r="U21" i="19"/>
  <c r="O41" i="19"/>
  <c r="AA51" i="19"/>
  <c r="AG21" i="19"/>
  <c r="U11" i="19"/>
  <c r="O31" i="19"/>
  <c r="AA41" i="19"/>
  <c r="U31" i="19"/>
  <c r="AG31" i="19"/>
  <c r="O51" i="19"/>
  <c r="AM21" i="19"/>
  <c r="AM41" i="19"/>
  <c r="Y46" i="1"/>
  <c r="Z46" i="1"/>
  <c r="AI16" i="19"/>
  <c r="AC36" i="19"/>
  <c r="Q26" i="19"/>
  <c r="W16" i="19"/>
  <c r="AC26" i="19"/>
  <c r="W6" i="19"/>
  <c r="Z45" i="1"/>
  <c r="Y45" i="1"/>
  <c r="J15" i="19"/>
  <c r="AB15" i="19"/>
  <c r="J35" i="19"/>
  <c r="AH15" i="19"/>
  <c r="AC55" i="1"/>
  <c r="J45" i="19"/>
  <c r="AH55" i="19"/>
  <c r="AB35" i="19"/>
  <c r="P55" i="19"/>
  <c r="AB45" i="19"/>
  <c r="P15" i="19"/>
  <c r="AH45" i="19"/>
  <c r="V35" i="19"/>
  <c r="AB25" i="19"/>
  <c r="P25" i="19"/>
  <c r="V25" i="19"/>
  <c r="AH25" i="19"/>
  <c r="P45" i="19"/>
  <c r="J25" i="19"/>
  <c r="J55" i="19"/>
  <c r="AH35" i="19"/>
  <c r="P35" i="19"/>
  <c r="V45" i="19"/>
  <c r="V15" i="19"/>
  <c r="AB55" i="19"/>
  <c r="V55" i="19"/>
  <c r="X29" i="19"/>
  <c r="Z56" i="1"/>
  <c r="Y56" i="1"/>
  <c r="Y59" i="1"/>
  <c r="Z59" i="1"/>
  <c r="Z52" i="1"/>
  <c r="Y52" i="1"/>
  <c r="Y54" i="1"/>
  <c r="Z54" i="1"/>
  <c r="N29" i="19"/>
  <c r="Z49" i="19"/>
  <c r="Z19" i="19"/>
  <c r="AF49" i="19"/>
  <c r="T29" i="19"/>
  <c r="AF19" i="19"/>
  <c r="AL9" i="19"/>
  <c r="AL29" i="19"/>
  <c r="T9" i="19"/>
  <c r="Z9" i="19"/>
  <c r="Z29" i="19"/>
  <c r="T19" i="19"/>
  <c r="N39" i="19"/>
  <c r="Z31" i="1"/>
  <c r="Y31" i="1"/>
  <c r="AH8" i="19"/>
  <c r="AB48" i="19"/>
  <c r="V8" i="19"/>
  <c r="AH48" i="19"/>
  <c r="P18" i="19"/>
  <c r="J28" i="19"/>
  <c r="J48" i="19"/>
  <c r="V28" i="19"/>
  <c r="AB8" i="19"/>
  <c r="P28" i="19"/>
  <c r="AB28" i="19"/>
  <c r="AH28" i="19"/>
  <c r="AH18" i="19"/>
  <c r="P8" i="19"/>
  <c r="P38" i="19"/>
  <c r="P48" i="19"/>
  <c r="V48" i="19"/>
  <c r="J18" i="19"/>
  <c r="V38" i="19"/>
  <c r="J8" i="19"/>
  <c r="AH38" i="19"/>
  <c r="V18" i="19"/>
  <c r="AB18" i="19"/>
  <c r="J38" i="19"/>
  <c r="AC30" i="1"/>
  <c r="AB38" i="19"/>
  <c r="M41" i="19"/>
  <c r="M31" i="19"/>
  <c r="AK31" i="19"/>
  <c r="S51" i="19"/>
  <c r="AE31" i="19"/>
  <c r="S11" i="19"/>
  <c r="AE11" i="19"/>
  <c r="S31" i="19"/>
  <c r="Y11" i="19"/>
  <c r="AK51" i="19"/>
  <c r="AK11" i="19"/>
  <c r="Y41" i="19"/>
  <c r="M51" i="19"/>
  <c r="AE41" i="19"/>
  <c r="M21" i="19"/>
  <c r="Y31" i="19"/>
  <c r="AK21" i="19"/>
  <c r="S41" i="19"/>
  <c r="AE51" i="19"/>
  <c r="Y51" i="19"/>
  <c r="Y21" i="19"/>
  <c r="AE21" i="19"/>
  <c r="S21" i="19"/>
  <c r="AK41" i="19"/>
  <c r="M11" i="19"/>
  <c r="Z58" i="1"/>
  <c r="Y58" i="1"/>
  <c r="Z51" i="1"/>
  <c r="Y51" i="1"/>
  <c r="Y49" i="1"/>
  <c r="Z49" i="1"/>
  <c r="Y27" i="1"/>
  <c r="Z27" i="1"/>
  <c r="X28" i="1" s="1"/>
  <c r="Z28" i="1" s="1"/>
  <c r="X29" i="1" s="1"/>
  <c r="Z60" i="1"/>
  <c r="Y60" i="1"/>
  <c r="Z57" i="1"/>
  <c r="Y57" i="1"/>
  <c r="Z53" i="1"/>
  <c r="Y53" i="1"/>
  <c r="Y35" i="1"/>
  <c r="Z35" i="1"/>
  <c r="AI41" i="19"/>
  <c r="AC11" i="19"/>
  <c r="AI11" i="19"/>
  <c r="W51" i="19"/>
  <c r="K51" i="19"/>
  <c r="K11" i="19"/>
  <c r="Q11" i="19"/>
  <c r="W11" i="19"/>
  <c r="AI51" i="19"/>
  <c r="AC41" i="19"/>
  <c r="Q21" i="19"/>
  <c r="K21" i="19"/>
  <c r="K41" i="19"/>
  <c r="AI21" i="19"/>
  <c r="AC51" i="19"/>
  <c r="Q51" i="19"/>
  <c r="AC21" i="19"/>
  <c r="AI31" i="19"/>
  <c r="W31" i="19"/>
  <c r="K31" i="19"/>
  <c r="Q31" i="19"/>
  <c r="W21" i="19"/>
  <c r="W41" i="19"/>
  <c r="Q41" i="19"/>
  <c r="AC31" i="19"/>
  <c r="U13" i="19"/>
  <c r="O53" i="19"/>
  <c r="U33" i="19"/>
  <c r="AG13" i="19"/>
  <c r="AM33" i="19"/>
  <c r="U53" i="19"/>
  <c r="O33" i="19"/>
  <c r="AM53" i="19"/>
  <c r="O23" i="19"/>
  <c r="U23" i="19"/>
  <c r="AA23" i="19"/>
  <c r="AA13" i="19"/>
  <c r="AG53" i="19"/>
  <c r="O13" i="19"/>
  <c r="AG33" i="19"/>
  <c r="O43" i="19"/>
  <c r="AA53" i="19"/>
  <c r="AC48" i="1"/>
  <c r="U43" i="19"/>
  <c r="AG43" i="19"/>
  <c r="AA33" i="19"/>
  <c r="AM43" i="19"/>
  <c r="AM13" i="19"/>
  <c r="AA43" i="19"/>
  <c r="AM23" i="19"/>
  <c r="AG23" i="19"/>
  <c r="S49" i="19"/>
  <c r="AE49" i="19"/>
  <c r="AK39" i="19"/>
  <c r="AE39" i="19"/>
  <c r="S29" i="19"/>
  <c r="S39" i="19"/>
  <c r="Y9" i="19"/>
  <c r="AK29" i="19"/>
  <c r="M39" i="19"/>
  <c r="AE29" i="19"/>
  <c r="M49" i="19"/>
  <c r="M29" i="19"/>
  <c r="S19" i="19"/>
  <c r="AK9" i="19"/>
  <c r="Y49" i="19"/>
  <c r="AE19" i="19"/>
  <c r="M19" i="19"/>
  <c r="M9" i="19"/>
  <c r="Y19" i="19"/>
  <c r="S9" i="19"/>
  <c r="AK19" i="19"/>
  <c r="AE9" i="19"/>
  <c r="Y29" i="19"/>
  <c r="Y39" i="19"/>
  <c r="AK49" i="19"/>
  <c r="AI43" i="19"/>
  <c r="K13" i="19"/>
  <c r="K43" i="19"/>
  <c r="Q33" i="19"/>
  <c r="AC13" i="19"/>
  <c r="W13" i="19"/>
  <c r="W53" i="19"/>
  <c r="AC43" i="19"/>
  <c r="Q53" i="19"/>
  <c r="AI33" i="19"/>
  <c r="AI23" i="19"/>
  <c r="W23" i="19"/>
  <c r="AI13" i="19"/>
  <c r="AI53" i="19"/>
  <c r="K53" i="19"/>
  <c r="Q43" i="19"/>
  <c r="K23" i="19"/>
  <c r="K33" i="19"/>
  <c r="AC23" i="19"/>
  <c r="Q23" i="19"/>
  <c r="AC53" i="19"/>
  <c r="W33" i="19"/>
  <c r="W43" i="19"/>
  <c r="Q13" i="19"/>
  <c r="AC44" i="1"/>
  <c r="AC33" i="19"/>
  <c r="Y50" i="1"/>
  <c r="Z50" i="1"/>
  <c r="T23" i="19" l="1"/>
  <c r="N43" i="19"/>
  <c r="AL53" i="19"/>
  <c r="T33" i="19"/>
  <c r="Z53" i="19"/>
  <c r="AF23" i="19"/>
  <c r="N53" i="19"/>
  <c r="N33" i="19"/>
  <c r="AF33" i="19"/>
  <c r="AL23" i="19"/>
  <c r="AF13" i="19"/>
  <c r="AL33" i="19"/>
  <c r="AL43" i="19"/>
  <c r="N13" i="19"/>
  <c r="Z33" i="19"/>
  <c r="AL13" i="19"/>
  <c r="Z23" i="19"/>
  <c r="AC47" i="1"/>
  <c r="AF43" i="19"/>
  <c r="AF53" i="19"/>
  <c r="T13" i="19"/>
  <c r="Z43" i="19"/>
  <c r="T53" i="19"/>
  <c r="Z13" i="19"/>
  <c r="N23" i="19"/>
  <c r="P46" i="19"/>
  <c r="AL19" i="19"/>
  <c r="AL49" i="19"/>
  <c r="AL39" i="19"/>
  <c r="T49" i="19"/>
  <c r="N19" i="19"/>
  <c r="T39" i="19"/>
  <c r="AJ9" i="19"/>
  <c r="AJ29" i="19"/>
  <c r="V6" i="19"/>
  <c r="AB29" i="1"/>
  <c r="AA29" i="1" s="1"/>
  <c r="AJ47" i="19" s="1"/>
  <c r="AB16" i="19"/>
  <c r="AH6" i="19"/>
  <c r="P16" i="19"/>
  <c r="J46" i="19"/>
  <c r="V16" i="19"/>
  <c r="AB26" i="19"/>
  <c r="AH16" i="19"/>
  <c r="V26" i="19"/>
  <c r="V36" i="19"/>
  <c r="J6" i="19"/>
  <c r="J36" i="19"/>
  <c r="AH46" i="19"/>
  <c r="P26" i="19"/>
  <c r="J26" i="19"/>
  <c r="AC24" i="1"/>
  <c r="AB6" i="19"/>
  <c r="V46" i="19"/>
  <c r="AB36" i="19"/>
  <c r="AH36" i="19"/>
  <c r="P36" i="19"/>
  <c r="AB46" i="19"/>
  <c r="Z29" i="1"/>
  <c r="Y29" i="1"/>
  <c r="X27" i="19" s="1"/>
  <c r="Y28" i="1"/>
  <c r="AC37" i="19" s="1"/>
  <c r="L19" i="19"/>
  <c r="AB23" i="19"/>
  <c r="AH23" i="19"/>
  <c r="J33" i="19"/>
  <c r="V33" i="19"/>
  <c r="P23" i="19"/>
  <c r="AB13" i="19"/>
  <c r="AH43" i="19"/>
  <c r="AC43" i="1"/>
  <c r="P13" i="19"/>
  <c r="J23" i="19"/>
  <c r="V53" i="19"/>
  <c r="P33" i="19"/>
  <c r="AB43" i="19"/>
  <c r="AB53" i="19"/>
  <c r="AH53" i="19"/>
  <c r="J53" i="19"/>
  <c r="AB33" i="19"/>
  <c r="V13" i="19"/>
  <c r="AH13" i="19"/>
  <c r="V23" i="19"/>
  <c r="V43" i="19"/>
  <c r="J43" i="19"/>
  <c r="P43" i="19"/>
  <c r="P53" i="19"/>
  <c r="J13" i="19"/>
  <c r="AH33" i="19"/>
  <c r="AJ49" i="19"/>
  <c r="AD19" i="19"/>
  <c r="J16" i="19"/>
  <c r="P6" i="19"/>
  <c r="AJ26" i="19"/>
  <c r="X46" i="19"/>
  <c r="X26" i="19"/>
  <c r="R36" i="19"/>
  <c r="AJ16" i="19"/>
  <c r="AD46" i="19"/>
  <c r="AD16" i="19"/>
  <c r="AJ46" i="19"/>
  <c r="L16" i="19"/>
  <c r="R26" i="19"/>
  <c r="R6" i="19"/>
  <c r="L26" i="19"/>
  <c r="X6" i="19"/>
  <c r="AD26" i="19"/>
  <c r="R16" i="19"/>
  <c r="L46" i="19"/>
  <c r="R46" i="19"/>
  <c r="L6" i="19"/>
  <c r="AJ6" i="19"/>
  <c r="AD6" i="19"/>
  <c r="X36" i="19"/>
  <c r="AD36" i="19"/>
  <c r="L36" i="19"/>
  <c r="AJ36" i="19"/>
  <c r="AF39" i="19"/>
  <c r="N49" i="19"/>
  <c r="Z39" i="19"/>
  <c r="N9" i="19"/>
  <c r="AF29" i="19"/>
  <c r="AD49" i="19"/>
  <c r="L39" i="19"/>
  <c r="X19" i="19"/>
  <c r="AD29" i="19"/>
  <c r="L49" i="19"/>
  <c r="L9" i="19"/>
  <c r="AJ39" i="19"/>
  <c r="R39" i="19"/>
  <c r="AJ19" i="19"/>
  <c r="X49" i="19"/>
  <c r="X39" i="19"/>
  <c r="R19" i="19"/>
  <c r="AD39" i="19"/>
  <c r="R49" i="19"/>
  <c r="X9" i="19"/>
  <c r="L29" i="19"/>
  <c r="R9" i="19"/>
  <c r="R29" i="19"/>
  <c r="AE13" i="19"/>
  <c r="AK33" i="19"/>
  <c r="Y43" i="19"/>
  <c r="M13" i="19"/>
  <c r="AE33" i="19"/>
  <c r="AK53" i="19"/>
  <c r="M33" i="19"/>
  <c r="S23" i="19"/>
  <c r="AK13" i="19"/>
  <c r="M43" i="19"/>
  <c r="AK43" i="19"/>
  <c r="M53" i="19"/>
  <c r="Y53" i="19"/>
  <c r="Y13" i="19"/>
  <c r="AE43" i="19"/>
  <c r="S13" i="19"/>
  <c r="S43" i="19"/>
  <c r="AK23" i="19"/>
  <c r="AE23" i="19"/>
  <c r="AE53" i="19"/>
  <c r="S33" i="19"/>
  <c r="S53" i="19"/>
  <c r="Y33" i="19"/>
  <c r="M23" i="19"/>
  <c r="Y23" i="19"/>
  <c r="AC46" i="1"/>
  <c r="T51" i="19"/>
  <c r="AF11" i="19"/>
  <c r="T41" i="19"/>
  <c r="Z31" i="19"/>
  <c r="AL31" i="19"/>
  <c r="AL51" i="19"/>
  <c r="N11" i="19"/>
  <c r="AF31" i="19"/>
  <c r="T11" i="19"/>
  <c r="T31" i="19"/>
  <c r="AL21" i="19"/>
  <c r="N41" i="19"/>
  <c r="N31" i="19"/>
  <c r="N21" i="19"/>
  <c r="Z51" i="19"/>
  <c r="AF51" i="19"/>
  <c r="AL11" i="19"/>
  <c r="Z41" i="19"/>
  <c r="AF41" i="19"/>
  <c r="Z21" i="19"/>
  <c r="T21" i="19"/>
  <c r="Z11" i="19"/>
  <c r="N51" i="19"/>
  <c r="AL41" i="19"/>
  <c r="AF21" i="19"/>
  <c r="O39" i="19"/>
  <c r="O49" i="19"/>
  <c r="AM49" i="19"/>
  <c r="AM9" i="19"/>
  <c r="AA9" i="19"/>
  <c r="AG39" i="19"/>
  <c r="AA19" i="19"/>
  <c r="O19" i="19"/>
  <c r="AA49" i="19"/>
  <c r="U39" i="19"/>
  <c r="O29" i="19"/>
  <c r="O9" i="19"/>
  <c r="U19" i="19"/>
  <c r="AM19" i="19"/>
  <c r="U29" i="19"/>
  <c r="U9" i="19"/>
  <c r="AG9" i="19"/>
  <c r="AM39" i="19"/>
  <c r="AG29" i="19"/>
  <c r="AM29" i="19"/>
  <c r="AG49" i="19"/>
  <c r="AG19" i="19"/>
  <c r="U49" i="19"/>
  <c r="AA29" i="19"/>
  <c r="AA39" i="19"/>
  <c r="O40" i="19"/>
  <c r="AM50" i="19"/>
  <c r="AG10" i="19"/>
  <c r="AA50" i="19"/>
  <c r="AA40" i="19"/>
  <c r="U40" i="19"/>
  <c r="AG30" i="19"/>
  <c r="AM30" i="19"/>
  <c r="AG20" i="19"/>
  <c r="AA10" i="19"/>
  <c r="O50" i="19"/>
  <c r="U20" i="19"/>
  <c r="AA30" i="19"/>
  <c r="AG40" i="19"/>
  <c r="U50" i="19"/>
  <c r="AA20" i="19"/>
  <c r="AG50" i="19"/>
  <c r="U30" i="19"/>
  <c r="O10" i="19"/>
  <c r="U10" i="19"/>
  <c r="O30" i="19"/>
  <c r="AM40" i="19"/>
  <c r="AM10" i="19"/>
  <c r="AM20" i="19"/>
  <c r="AE38" i="19"/>
  <c r="AK18" i="19"/>
  <c r="M8" i="19"/>
  <c r="M18" i="19"/>
  <c r="Y18" i="19"/>
  <c r="S18" i="19"/>
  <c r="S48" i="19"/>
  <c r="AK48" i="19"/>
  <c r="Y8" i="19"/>
  <c r="S38" i="19"/>
  <c r="S8" i="19"/>
  <c r="AE8" i="19"/>
  <c r="AK28" i="19"/>
  <c r="M28" i="19"/>
  <c r="AE48" i="19"/>
  <c r="S28" i="19"/>
  <c r="AK8" i="19"/>
  <c r="AK38" i="19"/>
  <c r="Y28" i="19"/>
  <c r="M48" i="19"/>
  <c r="Y48" i="19"/>
  <c r="Y38" i="19"/>
  <c r="M38" i="19"/>
  <c r="AE28" i="19"/>
  <c r="AE18" i="19"/>
  <c r="AL14" i="19"/>
  <c r="N44" i="19"/>
  <c r="N34" i="19"/>
  <c r="N54" i="19"/>
  <c r="AF14" i="19"/>
  <c r="AL24" i="19"/>
  <c r="AF54" i="19"/>
  <c r="AF44" i="19"/>
  <c r="T24" i="19"/>
  <c r="Z44" i="19"/>
  <c r="T34" i="19"/>
  <c r="Z54" i="19"/>
  <c r="Z34" i="19"/>
  <c r="T44" i="19"/>
  <c r="Z24" i="19"/>
  <c r="AL54" i="19"/>
  <c r="AL34" i="19"/>
  <c r="Z14" i="19"/>
  <c r="AF34" i="19"/>
  <c r="N14" i="19"/>
  <c r="T14" i="19"/>
  <c r="T54" i="19"/>
  <c r="N24" i="19"/>
  <c r="AC53" i="1"/>
  <c r="AL44" i="19"/>
  <c r="AF24" i="19"/>
  <c r="S27" i="19"/>
  <c r="S7" i="19"/>
  <c r="Y7" i="19"/>
  <c r="M47" i="19"/>
  <c r="AE7" i="19"/>
  <c r="M37" i="19"/>
  <c r="AK37" i="19"/>
  <c r="AK17" i="19"/>
  <c r="M17" i="19"/>
  <c r="AE37" i="19"/>
  <c r="Y17" i="19"/>
  <c r="S17" i="19"/>
  <c r="S37" i="19"/>
  <c r="AE17" i="19"/>
  <c r="Y27" i="19"/>
  <c r="M27" i="19"/>
  <c r="AK7" i="19"/>
  <c r="AE27" i="19"/>
  <c r="AK47" i="19"/>
  <c r="M7" i="19"/>
  <c r="Y47" i="19"/>
  <c r="AE47" i="19"/>
  <c r="AK27" i="19"/>
  <c r="S47" i="19"/>
  <c r="Y37" i="19"/>
  <c r="K35" i="19"/>
  <c r="W45" i="19"/>
  <c r="Q15" i="19"/>
  <c r="AI25" i="19"/>
  <c r="K15" i="19"/>
  <c r="W55" i="19"/>
  <c r="AI55" i="19"/>
  <c r="AC25" i="19"/>
  <c r="Q35" i="19"/>
  <c r="AC35" i="19"/>
  <c r="AC56" i="1"/>
  <c r="W25" i="19"/>
  <c r="K25" i="19"/>
  <c r="AI15" i="19"/>
  <c r="AI45" i="19"/>
  <c r="Q55" i="19"/>
  <c r="Q25" i="19"/>
  <c r="K55" i="19"/>
  <c r="AC55" i="19"/>
  <c r="Q45" i="19"/>
  <c r="W15" i="19"/>
  <c r="K45" i="19"/>
  <c r="AC45" i="19"/>
  <c r="W35" i="19"/>
  <c r="AI35" i="19"/>
  <c r="AC15" i="19"/>
  <c r="N30" i="19"/>
  <c r="AL30" i="19"/>
  <c r="N50" i="19"/>
  <c r="AF20" i="19"/>
  <c r="N40" i="19"/>
  <c r="N20" i="19"/>
  <c r="T10" i="19"/>
  <c r="Z20" i="19"/>
  <c r="T40" i="19"/>
  <c r="AL40" i="19"/>
  <c r="N10" i="19"/>
  <c r="T30" i="19"/>
  <c r="AF10" i="19"/>
  <c r="AF40" i="19"/>
  <c r="Z50" i="19"/>
  <c r="Z40" i="19"/>
  <c r="Z10" i="19"/>
  <c r="T20" i="19"/>
  <c r="AF30" i="19"/>
  <c r="AL50" i="19"/>
  <c r="AF50" i="19"/>
  <c r="AL20" i="19"/>
  <c r="Z30" i="19"/>
  <c r="T50" i="19"/>
  <c r="AL10" i="19"/>
  <c r="W28" i="19"/>
  <c r="AI48" i="19"/>
  <c r="W8" i="19"/>
  <c r="Q8" i="19"/>
  <c r="K48" i="19"/>
  <c r="AC48" i="19"/>
  <c r="W38" i="19"/>
  <c r="AI28" i="19"/>
  <c r="K38" i="19"/>
  <c r="W48" i="19"/>
  <c r="Q38" i="19"/>
  <c r="AI38" i="19"/>
  <c r="AC8" i="19"/>
  <c r="AI8" i="19"/>
  <c r="AC38" i="19"/>
  <c r="K8" i="19"/>
  <c r="AI18" i="19"/>
  <c r="Q18" i="19"/>
  <c r="AC28" i="19"/>
  <c r="AC18" i="19"/>
  <c r="Q48" i="19"/>
  <c r="K18" i="19"/>
  <c r="W18" i="19"/>
  <c r="K28" i="19"/>
  <c r="Q28" i="19"/>
  <c r="U48" i="19"/>
  <c r="AM18" i="19"/>
  <c r="U18" i="19"/>
  <c r="AA38" i="19"/>
  <c r="U8" i="19"/>
  <c r="O28" i="19"/>
  <c r="O8" i="19"/>
  <c r="AG18" i="19"/>
  <c r="AA8" i="19"/>
  <c r="AM48" i="19"/>
  <c r="AA48" i="19"/>
  <c r="AG48" i="19"/>
  <c r="AG38" i="19"/>
  <c r="U28" i="19"/>
  <c r="O18" i="19"/>
  <c r="AM38" i="19"/>
  <c r="U38" i="19"/>
  <c r="O48" i="19"/>
  <c r="AA28" i="19"/>
  <c r="O38" i="19"/>
  <c r="AG28" i="19"/>
  <c r="AG8" i="19"/>
  <c r="AA18" i="19"/>
  <c r="AM8" i="19"/>
  <c r="AM28" i="19"/>
  <c r="R21" i="19"/>
  <c r="L11" i="19"/>
  <c r="R31" i="19"/>
  <c r="X31" i="19"/>
  <c r="AD51" i="19"/>
  <c r="AD41" i="19"/>
  <c r="L41" i="19"/>
  <c r="X51" i="19"/>
  <c r="AJ41" i="19"/>
  <c r="X11" i="19"/>
  <c r="R41" i="19"/>
  <c r="AD31" i="19"/>
  <c r="L21" i="19"/>
  <c r="R51" i="19"/>
  <c r="L51" i="19"/>
  <c r="AJ11" i="19"/>
  <c r="X21" i="19"/>
  <c r="X41" i="19"/>
  <c r="AJ51" i="19"/>
  <c r="AJ31" i="19"/>
  <c r="AD11" i="19"/>
  <c r="AD21" i="19"/>
  <c r="AJ21" i="19"/>
  <c r="L31" i="19"/>
  <c r="R11" i="19"/>
  <c r="AK20" i="19"/>
  <c r="S40" i="19"/>
  <c r="AE50" i="19"/>
  <c r="Y50" i="19"/>
  <c r="S20" i="19"/>
  <c r="M20" i="19"/>
  <c r="AK10" i="19"/>
  <c r="Y10" i="19"/>
  <c r="S10" i="19"/>
  <c r="M50" i="19"/>
  <c r="Y20" i="19"/>
  <c r="AK30" i="19"/>
  <c r="M30" i="19"/>
  <c r="S30" i="19"/>
  <c r="AK40" i="19"/>
  <c r="AE40" i="19"/>
  <c r="Y40" i="19"/>
  <c r="AK50" i="19"/>
  <c r="M40" i="19"/>
  <c r="S50" i="19"/>
  <c r="Y30" i="19"/>
  <c r="AE30" i="19"/>
  <c r="AE10" i="19"/>
  <c r="AE20" i="19"/>
  <c r="M10" i="19"/>
  <c r="AJ35" i="19"/>
  <c r="AJ55" i="19"/>
  <c r="X55" i="19"/>
  <c r="L45" i="19"/>
  <c r="X35" i="19"/>
  <c r="AD35" i="19"/>
  <c r="R15" i="19"/>
  <c r="R25" i="19"/>
  <c r="L35" i="19"/>
  <c r="AD25" i="19"/>
  <c r="R45" i="19"/>
  <c r="AC57" i="1"/>
  <c r="X15" i="19"/>
  <c r="L15" i="19"/>
  <c r="X25" i="19"/>
  <c r="AJ45" i="19"/>
  <c r="R55" i="19"/>
  <c r="R35" i="19"/>
  <c r="AD55" i="19"/>
  <c r="AD15" i="19"/>
  <c r="AJ25" i="19"/>
  <c r="X45" i="19"/>
  <c r="L55" i="19"/>
  <c r="AJ15" i="19"/>
  <c r="L25" i="19"/>
  <c r="AD45" i="19"/>
  <c r="AM47" i="19"/>
  <c r="AA7" i="19"/>
  <c r="AM17" i="19"/>
  <c r="AG7" i="19"/>
  <c r="AA37" i="19"/>
  <c r="U47" i="19"/>
  <c r="AG37" i="19"/>
  <c r="U27" i="19"/>
  <c r="AA47" i="19"/>
  <c r="AM37" i="19"/>
  <c r="AA27" i="19"/>
  <c r="AG17" i="19"/>
  <c r="O37" i="19"/>
  <c r="AG27" i="19"/>
  <c r="AM27" i="19"/>
  <c r="U7" i="19"/>
  <c r="U37" i="19"/>
  <c r="O17" i="19"/>
  <c r="AM7" i="19"/>
  <c r="U17" i="19"/>
  <c r="AG47" i="19"/>
  <c r="O27" i="19"/>
  <c r="AA17" i="19"/>
  <c r="O47" i="19"/>
  <c r="O7" i="19"/>
  <c r="L54" i="19"/>
  <c r="R14" i="19"/>
  <c r="L34" i="19"/>
  <c r="X44" i="19"/>
  <c r="L14" i="19"/>
  <c r="AD54" i="19"/>
  <c r="AJ54" i="19"/>
  <c r="AJ14" i="19"/>
  <c r="AD34" i="19"/>
  <c r="AJ24" i="19"/>
  <c r="AD14" i="19"/>
  <c r="AJ44" i="19"/>
  <c r="AD44" i="19"/>
  <c r="R54" i="19"/>
  <c r="R24" i="19"/>
  <c r="L44" i="19"/>
  <c r="R34" i="19"/>
  <c r="AD24" i="19"/>
  <c r="X34" i="19"/>
  <c r="X54" i="19"/>
  <c r="AC51" i="1"/>
  <c r="AJ34" i="19"/>
  <c r="R44" i="19"/>
  <c r="X24" i="19"/>
  <c r="X14" i="19"/>
  <c r="L24" i="19"/>
  <c r="AH49" i="19"/>
  <c r="V39" i="19"/>
  <c r="J19" i="19"/>
  <c r="AB29" i="19"/>
  <c r="V49" i="19"/>
  <c r="AH29" i="19"/>
  <c r="AC31" i="1"/>
  <c r="P39" i="19"/>
  <c r="V9" i="19"/>
  <c r="V29" i="19"/>
  <c r="P49" i="19"/>
  <c r="AH39" i="19"/>
  <c r="AB19" i="19"/>
  <c r="P9" i="19"/>
  <c r="P29" i="19"/>
  <c r="V19" i="19"/>
  <c r="AB9" i="19"/>
  <c r="AB49" i="19"/>
  <c r="AH19" i="19"/>
  <c r="J39" i="19"/>
  <c r="J49" i="19"/>
  <c r="AB39" i="19"/>
  <c r="P19" i="19"/>
  <c r="J29" i="19"/>
  <c r="J9" i="19"/>
  <c r="AH9" i="19"/>
  <c r="X13" i="19"/>
  <c r="X23" i="19"/>
  <c r="AJ13" i="19"/>
  <c r="L33" i="19"/>
  <c r="AD13" i="19"/>
  <c r="AJ33" i="19"/>
  <c r="AD43" i="19"/>
  <c r="R43" i="19"/>
  <c r="AJ53" i="19"/>
  <c r="L53" i="19"/>
  <c r="R53" i="19"/>
  <c r="AJ43" i="19"/>
  <c r="L43" i="19"/>
  <c r="AD53" i="19"/>
  <c r="L23" i="19"/>
  <c r="L13" i="19"/>
  <c r="AD33" i="19"/>
  <c r="R23" i="19"/>
  <c r="AD23" i="19"/>
  <c r="X43" i="19"/>
  <c r="X33" i="19"/>
  <c r="R13" i="19"/>
  <c r="AJ23" i="19"/>
  <c r="AC45" i="1"/>
  <c r="R33" i="19"/>
  <c r="X53" i="19"/>
  <c r="W10" i="19"/>
  <c r="W50" i="19"/>
  <c r="AI50" i="19"/>
  <c r="W40" i="19"/>
  <c r="AC20" i="19"/>
  <c r="Q20" i="19"/>
  <c r="AC50" i="19"/>
  <c r="K40" i="19"/>
  <c r="K10" i="19"/>
  <c r="AI20" i="19"/>
  <c r="K20" i="19"/>
  <c r="AI30" i="19"/>
  <c r="Q50" i="19"/>
  <c r="K50" i="19"/>
  <c r="AC30" i="19"/>
  <c r="AC40" i="19"/>
  <c r="W20" i="19"/>
  <c r="AI40" i="19"/>
  <c r="W30" i="19"/>
  <c r="Q40" i="19"/>
  <c r="K30" i="19"/>
  <c r="Q30" i="19"/>
  <c r="Q10" i="19"/>
  <c r="AC10" i="19"/>
  <c r="AI10" i="19"/>
  <c r="O45" i="19"/>
  <c r="AG35" i="19"/>
  <c r="AM45" i="19"/>
  <c r="U25" i="19"/>
  <c r="AM15" i="19"/>
  <c r="AC60" i="1"/>
  <c r="U55" i="19"/>
  <c r="AA15" i="19"/>
  <c r="AM35" i="19"/>
  <c r="O25" i="19"/>
  <c r="U45" i="19"/>
  <c r="U15" i="19"/>
  <c r="AM55" i="19"/>
  <c r="AA25" i="19"/>
  <c r="AG45" i="19"/>
  <c r="O35" i="19"/>
  <c r="AG55" i="19"/>
  <c r="O55" i="19"/>
  <c r="U35" i="19"/>
  <c r="AA35" i="19"/>
  <c r="AG15" i="19"/>
  <c r="AM25" i="19"/>
  <c r="AA45" i="19"/>
  <c r="AG25" i="19"/>
  <c r="O15" i="19"/>
  <c r="AA55" i="19"/>
  <c r="AC58" i="1"/>
  <c r="S45" i="19"/>
  <c r="Y15" i="19"/>
  <c r="M45" i="19"/>
  <c r="AE15" i="19"/>
  <c r="Y55" i="19"/>
  <c r="AE25" i="19"/>
  <c r="S35" i="19"/>
  <c r="AE55" i="19"/>
  <c r="Y25" i="19"/>
  <c r="S15" i="19"/>
  <c r="Y35" i="19"/>
  <c r="M15" i="19"/>
  <c r="M35" i="19"/>
  <c r="Y45" i="19"/>
  <c r="AK55" i="19"/>
  <c r="M25" i="19"/>
  <c r="S25" i="19"/>
  <c r="M55" i="19"/>
  <c r="AE35" i="19"/>
  <c r="AK15" i="19"/>
  <c r="AK25" i="19"/>
  <c r="S55" i="19"/>
  <c r="AK35" i="19"/>
  <c r="AE45" i="19"/>
  <c r="AK45" i="19"/>
  <c r="Y54" i="19"/>
  <c r="AK54" i="19"/>
  <c r="AK14" i="19"/>
  <c r="AK44" i="19"/>
  <c r="AK24" i="19"/>
  <c r="AC52" i="1"/>
  <c r="AE54" i="19"/>
  <c r="Y34" i="19"/>
  <c r="Y14" i="19"/>
  <c r="M54" i="19"/>
  <c r="AE44" i="19"/>
  <c r="S24" i="19"/>
  <c r="M44" i="19"/>
  <c r="Y24" i="19"/>
  <c r="Y44" i="19"/>
  <c r="S34" i="19"/>
  <c r="M24" i="19"/>
  <c r="S54" i="19"/>
  <c r="AE14" i="19"/>
  <c r="S14" i="19"/>
  <c r="AK34" i="19"/>
  <c r="M14" i="19"/>
  <c r="AE34" i="19"/>
  <c r="S44" i="19"/>
  <c r="AE24" i="19"/>
  <c r="M34" i="19"/>
  <c r="AI49" i="19"/>
  <c r="W49" i="19"/>
  <c r="W39" i="19"/>
  <c r="W19" i="19"/>
  <c r="AI19" i="19"/>
  <c r="Q19" i="19"/>
  <c r="K39" i="19"/>
  <c r="W9" i="19"/>
  <c r="AC9" i="19"/>
  <c r="Q39" i="19"/>
  <c r="AI39" i="19"/>
  <c r="AC29" i="19"/>
  <c r="Q9" i="19"/>
  <c r="AC39" i="19"/>
  <c r="AI9" i="19"/>
  <c r="K29" i="19"/>
  <c r="AI29" i="19"/>
  <c r="W29" i="19"/>
  <c r="Q29" i="19"/>
  <c r="AC49" i="19"/>
  <c r="K9" i="19"/>
  <c r="Q49" i="19"/>
  <c r="K49" i="19"/>
  <c r="K19" i="19"/>
  <c r="AC19" i="19"/>
  <c r="AC27" i="19"/>
  <c r="R27" i="19"/>
  <c r="V27" i="19"/>
  <c r="J17" i="19"/>
  <c r="AB37" i="19"/>
  <c r="P27" i="19"/>
  <c r="AH47" i="19"/>
  <c r="V37" i="19"/>
  <c r="AB47" i="19"/>
  <c r="AH7" i="19"/>
  <c r="V47" i="19"/>
  <c r="J27" i="19"/>
  <c r="AB7" i="19"/>
  <c r="P37" i="19"/>
  <c r="AH17" i="19"/>
  <c r="P47" i="19"/>
  <c r="V7" i="19"/>
  <c r="AB17" i="19"/>
  <c r="AB27" i="19"/>
  <c r="AH37" i="19"/>
  <c r="J7" i="19"/>
  <c r="J37" i="19"/>
  <c r="P7" i="19"/>
  <c r="AC27" i="1"/>
  <c r="AH27" i="19"/>
  <c r="J47" i="19"/>
  <c r="P17" i="19"/>
  <c r="V17" i="19"/>
  <c r="P54" i="19"/>
  <c r="AB54" i="19"/>
  <c r="J54" i="19"/>
  <c r="AH24" i="19"/>
  <c r="AB14" i="19"/>
  <c r="V14" i="19"/>
  <c r="V34" i="19"/>
  <c r="V24" i="19"/>
  <c r="J34" i="19"/>
  <c r="P44" i="19"/>
  <c r="AH34" i="19"/>
  <c r="AH44" i="19"/>
  <c r="AB44" i="19"/>
  <c r="AB24" i="19"/>
  <c r="P24" i="19"/>
  <c r="AH54" i="19"/>
  <c r="AB34" i="19"/>
  <c r="J44" i="19"/>
  <c r="AC49" i="1"/>
  <c r="P14" i="19"/>
  <c r="J24" i="19"/>
  <c r="V44" i="19"/>
  <c r="AH14" i="19"/>
  <c r="P34" i="19"/>
  <c r="V54" i="19"/>
  <c r="J14" i="19"/>
  <c r="T17" i="19"/>
  <c r="N17" i="19"/>
  <c r="AL47" i="19"/>
  <c r="N37" i="19"/>
  <c r="AL17" i="19"/>
  <c r="N7" i="19"/>
  <c r="Z47" i="19"/>
  <c r="Z17" i="19"/>
  <c r="AF27" i="19"/>
  <c r="T27" i="19"/>
  <c r="N47" i="19"/>
  <c r="AF17" i="19"/>
  <c r="Z7" i="19"/>
  <c r="T7" i="19"/>
  <c r="Z27" i="19"/>
  <c r="T47" i="19"/>
  <c r="Z37" i="19"/>
  <c r="T37" i="19"/>
  <c r="AL37" i="19"/>
  <c r="AF47" i="19"/>
  <c r="AL7" i="19"/>
  <c r="AF7" i="19"/>
  <c r="AL27" i="19"/>
  <c r="AF37" i="19"/>
  <c r="N27" i="19"/>
  <c r="AI54" i="19"/>
  <c r="W24" i="19"/>
  <c r="W14" i="19"/>
  <c r="AI24" i="19"/>
  <c r="AC50" i="1"/>
  <c r="K14" i="19"/>
  <c r="Q54" i="19"/>
  <c r="AC44" i="19"/>
  <c r="K24" i="19"/>
  <c r="W44" i="19"/>
  <c r="K44" i="19"/>
  <c r="W54" i="19"/>
  <c r="Q14" i="19"/>
  <c r="AI34" i="19"/>
  <c r="AC54" i="19"/>
  <c r="AC34" i="19"/>
  <c r="Q24" i="19"/>
  <c r="AC24" i="19"/>
  <c r="Q34" i="19"/>
  <c r="AI14" i="19"/>
  <c r="W34" i="19"/>
  <c r="K54" i="19"/>
  <c r="K34" i="19"/>
  <c r="AC14" i="19"/>
  <c r="Q44" i="19"/>
  <c r="AI44" i="19"/>
  <c r="V11" i="19"/>
  <c r="AB41" i="19"/>
  <c r="J21" i="19"/>
  <c r="V41" i="19"/>
  <c r="P51" i="19"/>
  <c r="J51" i="19"/>
  <c r="P11" i="19"/>
  <c r="AB21" i="19"/>
  <c r="AC35" i="1"/>
  <c r="AB31" i="19"/>
  <c r="V31" i="19"/>
  <c r="V21" i="19"/>
  <c r="AH51" i="19"/>
  <c r="AH41" i="19"/>
  <c r="AH21" i="19"/>
  <c r="AH11" i="19"/>
  <c r="J11" i="19"/>
  <c r="P41" i="19"/>
  <c r="AB11" i="19"/>
  <c r="J41" i="19"/>
  <c r="P31" i="19"/>
  <c r="AH31" i="19"/>
  <c r="J31" i="19"/>
  <c r="V51" i="19"/>
  <c r="AB51" i="19"/>
  <c r="P21" i="19"/>
  <c r="T6" i="19"/>
  <c r="AF36" i="19"/>
  <c r="N46" i="19"/>
  <c r="N36" i="19"/>
  <c r="Z6" i="19"/>
  <c r="N16" i="19"/>
  <c r="AL6" i="19"/>
  <c r="AF46" i="19"/>
  <c r="T26" i="19"/>
  <c r="Z46" i="19"/>
  <c r="N26" i="19"/>
  <c r="Z26" i="19"/>
  <c r="AL46" i="19"/>
  <c r="T36" i="19"/>
  <c r="AF6" i="19"/>
  <c r="Z36" i="19"/>
  <c r="AF26" i="19"/>
  <c r="N6" i="19"/>
  <c r="T46" i="19"/>
  <c r="AL26" i="19"/>
  <c r="AL36" i="19"/>
  <c r="AF16" i="19"/>
  <c r="T16" i="19"/>
  <c r="Z16" i="19"/>
  <c r="AL16" i="19"/>
  <c r="X40" i="19"/>
  <c r="R30" i="19"/>
  <c r="AJ20" i="19"/>
  <c r="AD50" i="19"/>
  <c r="AD20" i="19"/>
  <c r="AD40" i="19"/>
  <c r="AJ10" i="19"/>
  <c r="AJ40" i="19"/>
  <c r="AJ30" i="19"/>
  <c r="L40" i="19"/>
  <c r="R10" i="19"/>
  <c r="R40" i="19"/>
  <c r="L10" i="19"/>
  <c r="AJ50" i="19"/>
  <c r="L30" i="19"/>
  <c r="AD10" i="19"/>
  <c r="L50" i="19"/>
  <c r="X30" i="19"/>
  <c r="L20" i="19"/>
  <c r="R20" i="19"/>
  <c r="R50" i="19"/>
  <c r="X50" i="19"/>
  <c r="AD30" i="19"/>
  <c r="X20" i="19"/>
  <c r="X10" i="19"/>
  <c r="Y16" i="19"/>
  <c r="AE6" i="19"/>
  <c r="M16" i="19"/>
  <c r="AE46" i="19"/>
  <c r="AK36" i="19"/>
  <c r="AE16" i="19"/>
  <c r="AK6" i="19"/>
  <c r="AE26" i="19"/>
  <c r="M46" i="19"/>
  <c r="M26" i="19"/>
  <c r="AE36" i="19"/>
  <c r="AK26" i="19"/>
  <c r="S6" i="19"/>
  <c r="M6" i="19"/>
  <c r="Y36" i="19"/>
  <c r="Y6" i="19"/>
  <c r="S36" i="19"/>
  <c r="Y26" i="19"/>
  <c r="S46" i="19"/>
  <c r="AK46" i="19"/>
  <c r="S16" i="19"/>
  <c r="AK16" i="19"/>
  <c r="Y46" i="19"/>
  <c r="M36" i="19"/>
  <c r="S26" i="19"/>
  <c r="O24" i="19"/>
  <c r="AA44" i="19"/>
  <c r="O44" i="19"/>
  <c r="O14" i="19"/>
  <c r="AA34" i="19"/>
  <c r="AM34" i="19"/>
  <c r="AG54" i="19"/>
  <c r="AA14" i="19"/>
  <c r="AM14" i="19"/>
  <c r="AA54" i="19"/>
  <c r="AM24" i="19"/>
  <c r="U54" i="19"/>
  <c r="U34" i="19"/>
  <c r="O54" i="19"/>
  <c r="U14" i="19"/>
  <c r="AG44" i="19"/>
  <c r="U44" i="19"/>
  <c r="AG34" i="19"/>
  <c r="AM54" i="19"/>
  <c r="U24" i="19"/>
  <c r="O34" i="19"/>
  <c r="AC54" i="1"/>
  <c r="AG24" i="19"/>
  <c r="AM44" i="19"/>
  <c r="AA24" i="19"/>
  <c r="AG14" i="19"/>
  <c r="Z45" i="19"/>
  <c r="N45" i="19"/>
  <c r="AL15" i="19"/>
  <c r="AF25" i="19"/>
  <c r="T25" i="19"/>
  <c r="N15" i="19"/>
  <c r="AF35" i="19"/>
  <c r="Z55" i="19"/>
  <c r="N35" i="19"/>
  <c r="T55" i="19"/>
  <c r="AC59" i="1"/>
  <c r="AL55" i="19"/>
  <c r="T35" i="19"/>
  <c r="AL35" i="19"/>
  <c r="AL45" i="19"/>
  <c r="AF55" i="19"/>
  <c r="T45" i="19"/>
  <c r="AF45" i="19"/>
  <c r="Z25" i="19"/>
  <c r="N55" i="19"/>
  <c r="T15" i="19"/>
  <c r="AL25" i="19"/>
  <c r="AF15" i="19"/>
  <c r="Z35" i="19"/>
  <c r="N25" i="19"/>
  <c r="Z15" i="19"/>
  <c r="R48" i="19"/>
  <c r="AD8" i="19"/>
  <c r="AJ28" i="19"/>
  <c r="L18" i="19"/>
  <c r="AJ8" i="19"/>
  <c r="AJ48" i="19"/>
  <c r="L28" i="19"/>
  <c r="AD38" i="19"/>
  <c r="X28" i="19"/>
  <c r="AJ38" i="19"/>
  <c r="AD28" i="19"/>
  <c r="AD48" i="19"/>
  <c r="X18" i="19"/>
  <c r="R8" i="19"/>
  <c r="L48" i="19"/>
  <c r="X8" i="19"/>
  <c r="X48" i="19"/>
  <c r="AJ18" i="19"/>
  <c r="X38" i="19"/>
  <c r="AD18" i="19"/>
  <c r="L8" i="19"/>
  <c r="R28" i="19"/>
  <c r="R38" i="19"/>
  <c r="R18" i="19"/>
  <c r="L38" i="19"/>
  <c r="T28" i="19"/>
  <c r="AF8" i="19"/>
  <c r="AL48" i="19"/>
  <c r="AF28" i="19"/>
  <c r="T48" i="19"/>
  <c r="AF48" i="19"/>
  <c r="AF38" i="19"/>
  <c r="AL8" i="19"/>
  <c r="AL38" i="19"/>
  <c r="T8" i="19"/>
  <c r="N18" i="19"/>
  <c r="T18" i="19"/>
  <c r="Z28" i="19"/>
  <c r="Z48" i="19"/>
  <c r="AF18" i="19"/>
  <c r="T38" i="19"/>
  <c r="N48" i="19"/>
  <c r="AL28" i="19"/>
  <c r="Z38" i="19"/>
  <c r="AL18" i="19"/>
  <c r="N8" i="19"/>
  <c r="N38" i="19"/>
  <c r="N28" i="19"/>
  <c r="Z18" i="19"/>
  <c r="Z8" i="19"/>
  <c r="L27" i="19" l="1"/>
  <c r="AI47" i="19"/>
  <c r="AD27" i="19"/>
  <c r="AJ7" i="19"/>
  <c r="R47" i="19"/>
  <c r="AC29" i="1"/>
  <c r="X17" i="19"/>
  <c r="L47" i="19"/>
  <c r="AC28" i="1"/>
  <c r="AI27" i="19"/>
  <c r="R37" i="19"/>
  <c r="AJ27" i="19"/>
  <c r="AD17" i="19"/>
  <c r="R17" i="19"/>
  <c r="X47" i="19"/>
  <c r="Q17" i="19"/>
  <c r="L37" i="19"/>
  <c r="AD37" i="19"/>
  <c r="X7" i="19"/>
  <c r="X37" i="19"/>
  <c r="AJ37" i="19"/>
  <c r="AI37" i="19"/>
  <c r="AJ17" i="19"/>
  <c r="R7" i="19"/>
  <c r="AD7" i="19"/>
  <c r="L17" i="19"/>
  <c r="L7" i="19"/>
  <c r="AD47" i="19"/>
  <c r="W27" i="19"/>
  <c r="W17" i="19"/>
  <c r="Q27" i="19"/>
  <c r="Q47" i="19"/>
  <c r="Q37" i="19"/>
  <c r="K47" i="19"/>
  <c r="K7" i="19"/>
  <c r="AI17" i="19"/>
  <c r="AC47" i="19"/>
  <c r="K17" i="19"/>
  <c r="Q7" i="19"/>
  <c r="W7" i="19"/>
  <c r="K37" i="19"/>
  <c r="W37" i="19"/>
  <c r="K27" i="19"/>
  <c r="W47" i="19"/>
  <c r="AC17" i="19"/>
  <c r="AC7" i="19"/>
  <c r="AI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<sst xmlns="http://schemas.openxmlformats.org/spreadsheetml/2006/main" count="586" uniqueCount="376">
  <si>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</si>
  <si>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</si>
  <si>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</si>
  <si>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</si>
  <si>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</si>
  <si>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</si>
  <si>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</si>
  <si>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</si>
  <si>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</si>
  <si>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</si>
  <si>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</si>
  <si>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</si>
  <si>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</si>
  <si>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</si>
  <si>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</si>
  <si>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</si>
  <si>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</si>
  <si>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</si>
  <si>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</si>
  <si>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</si>
  <si>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</si>
  <si>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</si>
  <si>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</si>
  <si>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</si>
  <si>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</si>
  <si>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</si>
  <si>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</si>
  <si>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</si>
  <si>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</si>
  <si>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</si>
  <si>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</si>
  <si>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</si>
  <si>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</si>
  <si>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</si>
  <si>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</si>
  <si>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</si>
  <si>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</si>
  <si>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</si>
  <si>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</si>
  <si>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</si>
  <si>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</si>
  <si>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</si>
  <si>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</si>
  <si>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</si>
  <si>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</si>
  <si>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</si>
  <si>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</si>
  <si>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</si>
  <si>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</si>
  <si>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</si>
  <si>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</si>
  <si>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</si>
  <si>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</si>
  <si>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</si>
  <si>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</si>
  <si>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</si>
  <si>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</si>
  <si>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</si>
  <si>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</si>
  <si>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</si>
  <si>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</si>
  <si>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</si>
  <si>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</si>
  <si>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</si>
  <si>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</si>
  <si>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</si>
  <si>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</si>
  <si>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</si>
  <si>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</si>
  <si>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</si>
  <si>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</si>
  <si>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</si>
  <si>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</si>
  <si>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</si>
  <si>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</si>
  <si>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</si>
  <si>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</si>
  <si>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</si>
  <si>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</si>
  <si>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</si>
  <si>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</si>
  <si>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</si>
  <si>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</si>
  <si>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</si>
  <si>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</si>
  <si>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</si>
  <si>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</si>
  <si>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</si>
  <si>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</si>
  <si>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</si>
  <si>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</si>
  <si>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</si>
  <si>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</si>
  <si>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</si>
  <si>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</si>
  <si>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</si>
  <si>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</si>
  <si>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</si>
  <si>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</si>
  <si>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</si>
  <si>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</si>
  <si>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</si>
  <si>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</si>
  <si>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</si>
  <si>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</si>
  <si>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</si>
  <si>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</si>
  <si>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</si>
  <si>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</si>
  <si>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</si>
  <si>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</si>
  <si>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</si>
  <si>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</si>
  <si>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</si>
  <si>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</si>
  <si>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</si>
  <si>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</si>
  <si>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</si>
  <si>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</si>
  <si>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</si>
  <si>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</si>
  <si>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</si>
  <si>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</si>
  <si>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</si>
  <si>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</si>
  <si>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</si>
  <si>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</si>
  <si>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</si>
  <si>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</si>
  <si>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</si>
  <si>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</si>
  <si>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</si>
  <si>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</si>
  <si>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</si>
  <si>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</si>
  <si>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</si>
  <si>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</si>
  <si>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</si>
  <si>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</si>
  <si>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</si>
  <si>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</si>
  <si>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</si>
  <si>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</si>
  <si>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</si>
  <si>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</si>
  <si>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</si>
  <si>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</si>
  <si>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</si>
  <si>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</si>
  <si>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</si>
  <si>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</si>
  <si>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</si>
  <si>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</si>
  <si>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</si>
  <si>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</si>
  <si>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</si>
  <si>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</si>
  <si>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</si>
  <si>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</si>
  <si>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</si>
  <si>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</si>
  <si>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</si>
  <si>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</si>
  <si>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</si>
  <si>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</si>
  <si>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</si>
  <si>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</si>
  <si>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</si>
  <si>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</si>
  <si>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</si>
  <si>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</si>
  <si>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</si>
  <si>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</si>
  <si>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</si>
  <si>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</si>
  <si>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</si>
  <si>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</si>
  <si>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</si>
  <si>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</si>
  <si>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</si>
  <si>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</si>
  <si>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</si>
  <si>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</si>
  <si>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</si>
  <si>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</si>
  <si>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</si>
  <si>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</si>
  <si>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</si>
  <si>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</si>
  <si>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</si>
  <si>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</si>
  <si>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</si>
  <si>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</si>
  <si>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</si>
  <si>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</si>
  <si>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</si>
  <si>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</si>
  <si>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</si>
  <si>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</si>
  <si>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</si>
  <si>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</si>
  <si>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</si>
  <si>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</si>
  <si>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</si>
  <si>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</si>
  <si>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</si>
  <si>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</si>
  <si>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</si>
  <si>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</si>
  <si>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</si>
  <si>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t>
  </si>
  <si>
    <t xml:space="preserve">ANÁLISIS DOFA        </t>
  </si>
  <si>
    <t>Origen Interno</t>
  </si>
  <si>
    <t>Fortalezas</t>
  </si>
  <si>
    <t>Debilidades</t>
  </si>
  <si>
    <t>Origen Externo</t>
  </si>
  <si>
    <t>Oportunidades</t>
  </si>
  <si>
    <t>Amenazas</t>
  </si>
  <si>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</si>
  <si>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Código</t>
  </si>
  <si>
    <t>PLE-PIN-F001</t>
  </si>
  <si>
    <t>Versión</t>
  </si>
  <si>
    <t>Vigencia</t>
  </si>
  <si>
    <t>Caso HOLA:</t>
  </si>
  <si>
    <t>CONTROL DE CAMBIOS MATRIZ DE RIESGOS</t>
  </si>
  <si>
    <t>VERSIÓN</t>
  </si>
  <si>
    <t>FECHA</t>
  </si>
  <si>
    <t>DESCRIPCIÓN DE LA MODIFICACIÓN</t>
  </si>
  <si>
    <t>NOTA: Para el diligenciamiento de esta matriz tenga en cuenta el manual "Gestión del Riesgo" PLE-PIN-M001</t>
  </si>
  <si>
    <t>MATRIZ MAPA DE RIESGO</t>
  </si>
  <si>
    <t>Ambiental</t>
  </si>
  <si>
    <t>Daños Activos Físicos</t>
  </si>
  <si>
    <t>Ejecución y Administración de Procesos</t>
  </si>
  <si>
    <t>Fallas Tecnológicas</t>
  </si>
  <si>
    <t>Usuarios, productos y prácticas organizacionales</t>
  </si>
  <si>
    <t>Ambientales</t>
  </si>
  <si>
    <t>Afectación Ambiental</t>
  </si>
  <si>
    <t>Entre 1-12.500</t>
  </si>
  <si>
    <t>&gt; 12.500 - 25.000</t>
  </si>
  <si>
    <t>&gt; 25.000 – 125.000</t>
  </si>
  <si>
    <t>&gt; 125.000 – 500.000</t>
  </si>
  <si>
    <t>El riesgo afecta la imagen de la entidad internamente, de conocimiento general, nivel interno, de junta directiva y accionistas y/o de provedores</t>
  </si>
  <si>
    <t>&gt; 500.000 – 1.000.000</t>
  </si>
  <si>
    <t>No.</t>
  </si>
  <si>
    <t>CRITERIOS DE VALORACIÓN</t>
  </si>
  <si>
    <t>ESCALA DE VALOR</t>
  </si>
  <si>
    <t>Se refiere al área de influencia del impacto en relación con el entorno donde se genera.</t>
  </si>
  <si>
    <t>Puntual 1</t>
  </si>
  <si>
    <t>El impacto queda confinado dentro del área donde se genera.</t>
  </si>
  <si>
    <t>Local 5</t>
  </si>
  <si>
    <t>Trasciende los límites del área de influencia.</t>
  </si>
  <si>
    <t>Regional o nacional 10</t>
  </si>
  <si>
    <t>Tiene consecuencias a nivel regional o trasciende los límites del Distrito.</t>
  </si>
  <si>
    <t>Se refiere a la posibilidad que se dé el impacto y está relacionada con la "REGULARIDAD" (Normal, anormal o</t>
  </si>
  <si>
    <t>de emergencia).</t>
  </si>
  <si>
    <t>Baja 1</t>
  </si>
  <si>
    <t>Existe una posibilidad muy remota de que suceda</t>
  </si>
  <si>
    <t>Media 5</t>
  </si>
  <si>
    <t>Existe una posibilidad media de que suceda.</t>
  </si>
  <si>
    <t>Alta 10</t>
  </si>
  <si>
    <t>Es muy posible que suceda en cualquier momento.</t>
  </si>
  <si>
    <t>Duración</t>
  </si>
  <si>
    <t>Se refiere al tiempo que permanecerá el efecto positivo o negativo del impacto en el ambiente.</t>
  </si>
  <si>
    <t>Breve 1</t>
  </si>
  <si>
    <t>Alteración del recurso durante un lapso muy pequeño.</t>
  </si>
  <si>
    <t>Temporal 5</t>
  </si>
  <si>
    <t>Alteración del recurso durante un lapso moderado.</t>
  </si>
  <si>
    <t>Permanente 10</t>
  </si>
  <si>
    <t>Alteración del recurso permanente en el tiempo</t>
  </si>
  <si>
    <t>Recuperabilidad</t>
  </si>
  <si>
    <t>Se refiere a la posibilidad de reconstrucción, total o parcial del recurso afectado por el impacto.</t>
  </si>
  <si>
    <t>Reversible 1</t>
  </si>
  <si>
    <t>Recuperable 5</t>
  </si>
  <si>
    <t>Irrecuperable /irreversible 10</t>
  </si>
  <si>
    <t>El/los recursos afectados no retornan a las condiciones originales a través de ningún medio.</t>
  </si>
  <si>
    <t>Cantidad</t>
  </si>
  <si>
    <t>Se refiere a la magnitud del impacto, es decir, la severidad con la que ocurrirá la afectación y/o riesgo sobre el recurso.</t>
  </si>
  <si>
    <t>Alteración mínima del recurso. Existe bajo potencial de riesgo sobre el recurso o el ambiente.</t>
  </si>
  <si>
    <t>Moderada 5</t>
  </si>
  <si>
    <t>Alteración moderada del recurso. Tiene un potencial de riesgo medio sobre el recurso o el ambiente.</t>
  </si>
  <si>
    <t>Alteración Significativa del recurso. Tiene efectos importantes sobre el recurso o el ambiente.</t>
  </si>
  <si>
    <t>Normatividad</t>
  </si>
  <si>
    <t>Hace referencia a la normatividad ambiental aplicable    al    aspecto    y/o    el    impacto ambiental.</t>
  </si>
  <si>
    <t>No tiene normatividad relacionada.</t>
  </si>
  <si>
    <t>N/A</t>
  </si>
  <si>
    <t>Tiene normatividad relacionada.</t>
  </si>
  <si>
    <t>Se puede disminuir el efecto a través de medidas de control hasta un estándar determinado.</t>
  </si>
  <si>
    <t>Puede eliminarse el efecto por medio de actividades humanas tendientes a restablecer las condiciones originales del recurso.</t>
  </si>
  <si>
    <t>27 de abril de 2022</t>
  </si>
  <si>
    <r>
      <t>F1 Presupuesto garantizado a través del proyecto de descongestión y de las líneas de inversión en localidades</t>
    </r>
    <r>
      <rPr>
        <b/>
        <sz val="12"/>
        <color theme="0" tint="-0.34998626667073579"/>
        <rFont val="Titillium Web"/>
      </rPr>
      <t xml:space="preserve"> (4% para IVC)</t>
    </r>
    <r>
      <rPr>
        <b/>
        <sz val="12"/>
        <color rgb="FFA6A6A6"/>
        <rFont val="Titillium Web"/>
      </rPr>
      <t xml:space="preserve"> para tener una capacidad administrativa adecuada (recurso humano, equipos, aplicativos) para dar respuesta al Plan de descongestión</t>
    </r>
  </si>
  <si>
    <t>D1 Falta de unificación de criterios jurídicos.</t>
  </si>
  <si>
    <t>F2 Actualización del aplicativo SI ACTUA 1, ARCO, JACD EMPRESARIOS.</t>
  </si>
  <si>
    <t>D2 Deficiencia en los procedimientos de gestión documental en el área de archivo y en el trámite de documentos.</t>
  </si>
  <si>
    <t>F3 Compromiso de los Alcaldes Locales y Área Jurídica con el plan de descongestión Local</t>
  </si>
  <si>
    <t>D3 Falta capacitación a abogados, auxiliares administrativos y notificadores.</t>
  </si>
  <si>
    <t>F4 Formulación e implementación de Modelos tipo para algunos fallos.</t>
  </si>
  <si>
    <t>D4 Ralentización en los trámites de revisión, firma y notificación de los actos administrativos.</t>
  </si>
  <si>
    <t>F5 Se cuenta con un equipo calificado y experto que suministra asistencia técnica y acompañamiento a los equipos locales</t>
  </si>
  <si>
    <t>D5 Deficiente gestión por parte de las Alcaldías Locales del Cobro Persuasivo y coactivo.</t>
  </si>
  <si>
    <t>D6 Faltan recursos financieros para materialización de fallos donde se ordena demolición.</t>
  </si>
  <si>
    <t>F6 Actualizacion permanente de los documentos del Sistema de Gestion del proceso de IVC</t>
  </si>
  <si>
    <t xml:space="preserve">O1 Fortalecer los equipos encargados de adelantar los trámites de descongestión con procesos de formación, profesional especializado y optimización de los procedimiento en el proceso de archivo de expedientes. </t>
  </si>
  <si>
    <t xml:space="preserve">A1 Falta de coordinación con otras Entidades Distritales en lo relacionado con conceptos técnicos y en la materialización de los fallos de los Actos Administrativos.	</t>
  </si>
  <si>
    <t>O2 Descentralizar la segunda instancia y hacer más ágil las decisiones administrativas, mejorando los servicios de la Administración Distrital</t>
  </si>
  <si>
    <t>A2 El procedimiento administrativo (Ley 1437 del 2011) ralentiza el proceso jurídico.</t>
  </si>
  <si>
    <t xml:space="preserve">A3 Las entidades que intervienen directamente en la expedición de conceptos técnicos y la materialización de fallos dependen del tema que abarque la actuación administrativa. </t>
  </si>
  <si>
    <t xml:space="preserve">A4 Si no hay autocontrol de los actores privados, es probable que aumente el número de sanciones, comparendos, actuaciones, entre otros. </t>
  </si>
  <si>
    <t>Se documenta y unifica la Matriz de Riesgos de las 20 Alcaldías Locales, del Proceso Inspección Vigilancia y Control, incorporando elementos de las matrices de los anteriores procesos: Gestión Normativa y Jurídica Local, Seguridad y Convivencia y Justicia en el Distrito Capital, teniendo en cuenta la entrada en vigencia de la Resolución 0162 de 2017 “Por Medio de la cual se adopta el Marco Estratégico y Mapa de Procesos de la Secretaría Distrital de Gobierno”.</t>
  </si>
  <si>
    <t>Ajuste y actualización a la matriz de acuerdo con la guía del DAFP V4 -2018 a través del manual de gestión del riesgo versión 11- 2019, se ingresa las columnas para las características y la evaluación de los controles, se modifica el evento de los R1-R2y R3,   se eliminan los riesgos R4 y R6 debido a que estos riesgos  son gestionados en  el proceso de Gestión Jurídica ,  se unifican  los riegos 2 y 9, 3 y 5, y 7 y 8,  ya que tienen elementos en común. También se elimina el  riesgo R10,  ya que las decisiones proferidas por el consejo de justicia http://www.gobiernobogota.gov.co/transparencia/tramites-servicios/precedentes-del-consejo-justicia los riesgos,  en cada uno de ellos se establece de acuerdo al manual de gestión del riesgo un nuevo control  a todos los citados se proponen nuevas causas y consecuencias dejando las directamente relacionadas,   para la presente matriz 2019 quedan ocho (8) riesgos.</t>
  </si>
  <si>
    <t xml:space="preserve">Se realiza revisión general de los riesgos establecidos para el proceso IVC, se identifican ajustes en la definición de causas y consecuencias, se realizan ajustes a los controles de los riesgos.
Se elimina el R3 el cual se encuentra establecido como riesgo de corrupción. </t>
  </si>
  <si>
    <t>Se realiza actualización de matriz de riesgos de gestión de acuerdo con los lineamientos establecidos en el manual de gestión del riesgo PLE-PIN-M001 versión 6. Se realizó a través de mesa de trabajo a la que asistió el promotor de mejora del proceso y promotores de mejora referentes del nivel local, con el acompañamiento técnico del grupo de riesgos de la Oficina Asesora de Planeación. Se aprobó bajo caso HOLA N. 241905</t>
  </si>
  <si>
    <t>Se actualiza el contexto interno y externo del proceso. Se actualiza:
- Redacción del control del riesgo 1, 4, 5 y 6.
- Actualización completa del riesgo 2.
- Creación del riesgo 3, 9 y 10.
Se brinda acompañamiento metodológico del grupo de riesgos de la Oficina Asesora de Planeación. Se aprobó bajo caso HOLA N. 2937</t>
  </si>
  <si>
    <t>Inspeccion Vigilancia y Control</t>
  </si>
  <si>
    <t>Ejercer la Inspección, la Vigilancia y el Control en el Distrito Capital, a través de acciones, actuaciones, operaciones y decisiones de las autoridades administrativas y policivas a cargo de la Secretaría Distrital de
Gobierno, para garantizar la gobernabilidad y el ejercicio de derechos y libertades ciudadanas.</t>
  </si>
  <si>
    <t>El presente proceso aplica para el ejercicio de Inspección, Vigilancia y Control, con respecto a las normas Nacionales y Distritales que sean de competencia de las autoridades administrativas y policivas a cargo de la
Secretaría Distrital de Gobierno.</t>
  </si>
  <si>
    <t>1 
(Aplica Nivel Central y Nivel Local)</t>
  </si>
  <si>
    <t xml:space="preserve">Falta de seguridad y de acompañamiento para la realización de algunos operativos, lo cual dificulta su ejecución. </t>
  </si>
  <si>
    <t>Procedimientos desactualizados acorde  a la normatividad vigente.</t>
  </si>
  <si>
    <t>Falta de adaptacion del personal a los procesos y procedimientos de Inspeccion, Vigilancia y Control</t>
  </si>
  <si>
    <t>Desconocimiento por parte de los funcionarios sobre el Sitio de gestion DGP, de su diligenciamiento, cargue de la informacion y soportes correspondientes de las actividades de IVC.</t>
  </si>
  <si>
    <t>Posibilidad de afectación reputacional por el inadecuado cargue de los soportes en los formatos correspondientes de  las actividades de Inspección, Vigilancia y Control priorizadas en cuanto a actividad Económica, Espacio público, Obras y Urbanismo, Ambiente, Minería y Animales.</t>
  </si>
  <si>
    <t>El(a) Director(a) para la Gestión Policiva ó su delegado  (Nivel Central)  ó  el Alcalde Local  y/o su delegado (Nivel Local), realiza de forma mensual el seguimiento y control en el "Sitio de Gestión DGP" (Plataforma Digital) y evidencia aleatoriamente el registro y cargue de los formatos "GDI-GPD-F029 - Evidencia de Reunión", "GET-IVC-F072 - Acta de operativo inspección y vigilancia de actividad económica", de las actividades de Inspección Vigilancia y Control según corresponda. En caso de evidenciar que los soportes no corresponden o no se encuentran cargados, se realizarán por parte del(a) Director(a) para la Gestión Policiva ó su delegado  (Nivel Central)  ó  el Alcalde Local  y/o su delegado (Nivel Local), las acciones pertinentes para subsanar dicho registro, a través de correo electrónico y/o memorando.
Como evidencia de ejecución del control queda los formatos "GDI-GPD-F029 - Evidencia de Reunión", "GET-IVC-F072 - Acta de operativo inspección y vigilancia de actividad económica" segun aplique, y el reporte generado por el "Sitio de Gestión DGP" (Plataforma digital) y la respuesta por parte de la Alcaldia local del aseguramiento del cargue de las evidencias en el aplicativo.</t>
  </si>
  <si>
    <t>2
(Aplica Nivel Central y Nivel Local)</t>
  </si>
  <si>
    <t>Alta rotación de personal</t>
  </si>
  <si>
    <t>Insuficiente capacidad instalada</t>
  </si>
  <si>
    <t>Desconocimiento de la normatividad</t>
  </si>
  <si>
    <t>No se efectúa revisión y verificación de  la información que se encuentra en el expediente físico que esté cargado correctamente en SI ACTÚA</t>
  </si>
  <si>
    <t>Posibilidad de afectación económica y reputacional por indecuado registro de la información de las actuaciones administrativas en SI ACTÚA</t>
  </si>
  <si>
    <t>El Profesional 222-24 del área de Gestión Policiva (Nivel Local) o el profesional designado por el Alcalde Local, deberá validar mensualmente que la información presentada por el responsable del cargue de la información en SI ACTÚA coincida con el informe entregado por la Dirección para la Gestión Policiva. En caso de que no coincida, el Profesional 222-24 del área de Gestión Policiva (Nivel Local) o el profesional designado por el Alcalde Local deberá solicitar al responsable, la actualización de la información en el aplicativo SÍ ACTÚA.
Como evidencia queda la solicitud de actualización de información en el aplicativo SÍ ACTÚA mediante correo electrónico o memorando.</t>
  </si>
  <si>
    <t>El profesional designado por el(la) Director(a) para la Gestión Policiva realizará capacitaciones virtuales o presenciales, a solicitud de las Alcaldías Locales, sobre el funcionamiento del aplicativo SÍ ACTÚA y el correcto cargue de la información.
Como evidencia queda el formato "GDI-GPD-F029 - Evidencia de Reunión" o el listado de asistencia de la plataforma TEAMS.</t>
  </si>
  <si>
    <t>El profesional designado por el(la) Director(a) para la Gestión Policiva realizará reuniones periodicas virtuales o presenciales con las Alcaldías Locales  relacionadas con el estado de las actuaciones administrativas y su cargue en el aplicativo SI ACTÚA, generando las recomendaciones y alertas tempranas que correspondan.
Como evidencia queda el formato "GDI-GPD-F029 - Evidencia de Reunión"</t>
  </si>
  <si>
    <t>3
(Aplica Nivel Central)</t>
  </si>
  <si>
    <t>Omisión en la verificación de existencia de actuaciones policivas en RNMC y/o ARCO</t>
  </si>
  <si>
    <t>Inconsistencias en el intercambio de información entre los sistemas RNMC y ARCO</t>
  </si>
  <si>
    <t>Posibilidad de afectación económica y reputacional por inconsistencias en el cargue de los comparendos en el aplicativo ARCO</t>
  </si>
  <si>
    <t>El(a) Director(a) para la Gestión Policiva y/o su delegado (nivel central) generan un proceso de actualizacion mensual en el aplicativo ARCO con el objetivo de identificar inconsistencias en la información registrada en los comparendos tales como:
 -Error en el dato o falta de informacion de los  involucrados.
 -Inconsistencia frente al comportamiento.
 -Dirrecciones mal tipificadas.
 -Expedientes asignados, pero sin ejecucion de actividades.
 -Expedientes fallados sin dependencia o funcionario.
El(a) Director(a) para la Gestión Policiva y/o su delegado (nivel central) una vez identificada la novedad en la información procede a realizar los ajustes en los datos registrados. Como evidencia queda el reporte mensual de los ajustes realizados a los números ARCO.</t>
  </si>
  <si>
    <t>4
(Aplica Nivel Central y Nivel Local)</t>
  </si>
  <si>
    <t>Incumplimiento de la funciones y/o obligaciones derivadas del cargo a desempeñar y su seguimiento por parte del supervisor.</t>
  </si>
  <si>
    <t>Desconocimiento de la obligacion de registrar  y actualizar la actuacion administrativa en etapa de cobro persuasivo con sus soportes en el aplicativo vigente.</t>
  </si>
  <si>
    <t>Desconocimiento de los procesos de la gestión policiva en la localidad.</t>
  </si>
  <si>
    <t>Posibilidad de afectación reputacional por no registrar en el “Sistema de Actuaciones Administrativas y Procesos Policivos”, las multas impuestas que se encuentren en etapa de cobro persuasivo en las Alcaldías Locales.</t>
  </si>
  <si>
    <t>El Profesional 222 - 24 del área de Gestión Policiva de la Alcalida Local y/o su delegado, realiza de forma mensual el seguimiento al registro de las Actuaciones Administrativas en etapa de "Cobro Persuasivo" por parte de los profesionales de la Oficina Juridica. Como evidencia de ejecución del control quedan las comunicaciones con los pantallazos del registro en el  "Sistema de Actuaciones Administrativas y Procesos Policivos" y actas de reunión.
Para nivel central el(a) Director(a) para la Gestión Policiva y/o su delegado realiza de forma mensual la consolidación de las Actuaciones Administrativas en etapa de "Cobro Persuasivo". Como evidencia de ejecución del control quedan la informacion suministrada por la localidad en el formato GET-IVC-F020 "Control de Multas", las actas de reunión de seguimiento que se hacen de manera periódica con los referentes del nivel local.</t>
  </si>
  <si>
    <t>5
(Aplica Nivel Central)</t>
  </si>
  <si>
    <t>No hay integracion interinstitucional para  facilitar la consulta y verificación de los documentos correspondientes al trámite para emisión del concepto previo.</t>
  </si>
  <si>
    <t>Falta de recurso tecnológíco y humano  para el diseño de una herramienta que permita llevar control y avisos de vencimiento de los términos para dar respuesta a las solicitudes sobre conceptos previos.</t>
  </si>
  <si>
    <t>Desconocimiento de los lineamientos definidos para la definición del concepto previo para juegos de suerte y azar</t>
  </si>
  <si>
    <t>Posibilidad de afectación reputacional por responder las solicitudes de concepto previo para juegos de suerte y azar fuera de los términos de Ley, y sin verificar la veracidad de los documentos aportados por los empresarios.</t>
  </si>
  <si>
    <t>El profesional Especializado de la Dirección para la Gestión Policiva cada vez que llegue una solicitud de "Concepto  Previo  para los juegos localizados de suerte y azar", verifica que esta cumpla con los requerimientos legales establecidos y da aplicabilidad al "Procedimiento de Concepto Previo para los Juegos Localizados de Suerte y Azar - GET-IVC-P041". 
En caso de que se identifique posible falsedad o adulteración de los documentos soporte de la solicitud, se desarrolla el trámite jurídico penal de acuerdo con lo establecido en el Artículo 67 del Código de Procedimiento Penal, remitiendo la documentación correspondiente a la Dirección Jurídica para que lo ejecute.  
Como evidencia de la ejecución del control están los oficios requiriendo información sobre la autenticad de los documentos, los pantallazos sobre demostración de verificación realizados a través de los códigos o QR habilitados en los mismos documentos, los correos electrónicos de las entidades, memorando a la Dirección Jurídica en caso de que aplique y para el control de tiempos de respuesta una base en Excel que registra la fecha de entrada de la solicitud, la fecha de tiempo límite de respuesta y la fecha en que emitió la respuesta.</t>
  </si>
  <si>
    <t>6
(Aplica Nivel Central)</t>
  </si>
  <si>
    <t>Insuficiencia de personal para atender con oportunidad las solicitudes de registro previo  parques de diversiones y atracciones o dispositivos de entretenimiento.</t>
  </si>
  <si>
    <t xml:space="preserve">Omisión y desconocimiento de los procedimientos documentales y requisitos de ley para responder el registro de parques en los tiempos correspondientes y de acuerdo con la normatividad vigente.  </t>
  </si>
  <si>
    <t xml:space="preserve">Posibilidad de afectación reputacional por responder las solicitudes de registro de parques de diversiones y atracciones o dispositivos de entretenimiento fuera de los términos de ley. </t>
  </si>
  <si>
    <t>El profesional especializado de la Dirección para la Gestión Policiva cada vez que llegue una solicitud de "Registro Previo para los parques de Diversiones y Atracciones o Dispositivos de Entretenimiento" verifica que esta cumpla con los requerimientos legales establecidos y da aplicabilidad al "Procedimiento Registro previo de Parques de Diversiones y Atracciones o Dispositivos de Entretenimiento - GET-IVC-P040". 
En caso de que se identifique posible falsedad o adulteración de los documentos soporte de la solicitud, se desarrolla el trámite jurídico penal de acuerdo con lo establecido en el Artículo 67 del Código de Procedimiento Penal, remitiendo la documentacion correspondiente a la Direccion Juridica para que lo ejecute. 
Como evidencia de la ejecución del control están los oficios requiriendo información sobre la autenticad de los documentos, los pantallazos sobre demostración de verificación realizados a través de los códigos o QR habilitados en los mismos documentos, los correos electrónicos de las entidades, memorando a la Dirección Jurídica en caso de que aplique y para el control de tiempos de respuesta una base en excel que registra la fecha de entrada de la solicitud, la fecha de tiempo límite de respuesta y la fecha en que emitió la respuesta.</t>
  </si>
  <si>
    <t>7
(Aplica Nivel Central)</t>
  </si>
  <si>
    <t>Criterios en la evaluación de los requisitos legales, falta de herramientas de verificación de documentación  y acuerdos de voluntades de carácter privado.</t>
  </si>
  <si>
    <t>Desconocimiento de los requisitos para el otorgamiento del reconocimiento e integración con plataformas interinstitucionales para la verificación de la documentación requerida.</t>
  </si>
  <si>
    <t>Posibilidad de afectación reputacional por el inadecuado otorgamiento del reconocimiento de Sello Seguro a cargo de la Secretaría  Distrital de Gobierno sin el lleno de los requisitos legales.</t>
  </si>
  <si>
    <t>El Director para la Gestión Policiva o su delegado expedirá la certificación que otorga el beneficio de Sello Seguro a cargo de la Secretaría Distrtial de Gobierno teniendo en cuenta el cumplimiento de la normatividad vigente. 
Como evidencia de la ejecución del control se dejará anexo a la solictud el registro de verificación firmada por el funcionario responsable, el memorando remitido al solicitante y el certificado de Sello Seguro.</t>
  </si>
  <si>
    <t>8
(Aplica Nivel Central y Nivel Local)</t>
  </si>
  <si>
    <t>No contar con alianzas con gestores autorizados para la disposición de los residuos</t>
  </si>
  <si>
    <t>Ausencia de profesionales ambientales en los operativos que brinden lineamientos para la correcta disposición de los residuos</t>
  </si>
  <si>
    <t>Debilidad en la ejecución de seguimiento a la entrega, transporte, aprovechamiento, tratamiento y/o disposición final de los residuos generados.</t>
  </si>
  <si>
    <t>Probabilidad de impacto ambiental negativo por la  inadecuada gestión de residuos de construcción y demolición, de llantas provenientes limpieza de puntos críticos generados en la localidad con ocasión a los operativos así como de otras acciones de inspección, vigilancia y control realizados por el nivel central y/o Alcaldía Local.</t>
  </si>
  <si>
    <t>El profesional ambiental de la Alcaldía Local designado junto al profesional ambiental de la Dirección para la Gestión Policiva, cada vez que se lleve a cabo la jornada de recuperacion de espacio publico por disposicion inadecuada de residuos mixtos (puntos criticos) u otros operativos asociados al tema ambiental se realiza la actividad de Inspección y Control se registra en el formato de evidencia de reunión GDI-GPD-F029 y su registro fotografico de la disposición de los residuos.
En caso de que los profesionales asistentes al operativo evidencien que no se va a realizar la adecuada disposición de los residuos, se reprogramara la actividad y se realizara las coordinaciones con las entidades competentes para el cumplimiento de la normatividad ambiental, queda como evidencia los formatos reunión GDI-GPD-F029 y su registro fotografico.</t>
  </si>
  <si>
    <t>9. 
(Aplica Nivel Central)</t>
  </si>
  <si>
    <t>Complejidad en la revisión de la documentación en especial la mecánica para determinar el cumplimiento de los requisitos por el empresario.</t>
  </si>
  <si>
    <t>Insuficiencia de personal para atender con oportunidad las solicitudes de autorización de concursos</t>
  </si>
  <si>
    <t>Deficiencias en el control de entrada, asignación y respuestas a las solicitudes</t>
  </si>
  <si>
    <t>Posibilidad de afectación reputacional por responder las solicitudes de autorización de concurso fuera de los términos de ley. </t>
  </si>
  <si>
    <t>El Profesional Especializado designado por función en la Dirección para la Gestión Policiva cada vez que llegue una solicitud de "Concurso" registra y realiza seguimiento semanal en la base Excel (la fecha de entrada de la solicitud, la fecha de tiempo límite de respuesta, y la fecha de respuesta final), para validar el cumplimiento a los términos de respuesta.
En caso de encontrar solicitudes próximas a vencerse, el Profesional Especializado genera la alerta al profesional responsable de proyectar la respuesta a la solicitud del empresario.
Queda como evidencia de ejecución del control la base de datos en Excel y el link del cargue de la emisión de resoluciones y el correo electrónico del profesional emitiendo la alerta.</t>
  </si>
  <si>
    <t>10
(Aplica Nivel Central)</t>
  </si>
  <si>
    <t>Demora en la respuesta por parte de empresarios para acreditar la entrega de los premios</t>
  </si>
  <si>
    <t>Rotación del personal a cargo del seguimiento del cumplimiento de los Concursos autorizados</t>
  </si>
  <si>
    <t>Debilidad en el seguimiento oportuno a la entrega de los premios dentro de los términos de la resolucion que autoriza el concurso.</t>
  </si>
  <si>
    <t>Posibilidad de afectación reputacional por demora en la entrega de los premios por parte de los empresarios  que genera incumplimientos en los términos de la Resolución que autoriza el concurso.</t>
  </si>
  <si>
    <t>El Profesional designado por el Director para la Gestión Policiva cada vez que se notifica al Empresario las resoluciones de autorización o modificaciones de "Concursos" registra y realiza seguimiento semanal en la base Excel, para validar el cumplimiento en la entrega de los premios por parte del empresario.
Cuando se evidencie que está próxima la fecha límite de acreditación de la entrega de los premios, se remite correo electrónico al empresario recordándole la obligación de cumplir con lo autorizado frente a la entrega de los premios.
En caso que el empresario dentro de los términos establecidos no acredite la entrega de los premios, el Director para la Gestión Policiva remitirá oficio solicitando el cumplimiento de lo previsto en la resolución que autorizó el concurso. 
Si persiste el incumplimiento por parte del empresario, el Director para la Gestión Policiva  remite oficio a la compañía aseguradora solicitando iniciar el trámite para hacer efectiva la póliza de cumplimiento por los daños y perjuicios.
Como evidencia de la ejecución del control queda la base de Excel, los correos electrónicos y oficios remitidos al empresario y a la compañía de seguros, según 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</si>
</sst>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48"/>
      <color indexed="60"/>
      <name val="Arial"/>
      <family val="2"/>
    </font>
    <font>
      <b/>
      <sz val="10"/>
      <name val="Arial"/>
      <family val="2"/>
    </font>
    <font>
      <b/>
      <sz val="12"/>
      <color indexed="16"/>
      <name val="Arial"/>
      <family val="2"/>
    </font>
    <font>
      <b/>
      <sz val="12"/>
      <color rgb="FFA6A6A6"/>
      <name val="Titillium Web"/>
    </font>
    <font>
      <b/>
      <sz val="20"/>
      <color rgb="FFC00000"/>
      <name val="Arial Narrow"/>
      <family val="2"/>
    </font>
    <font>
      <sz val="11"/>
      <color rgb="FF000000"/>
      <name val="Calibri"/>
      <family val="2"/>
      <scheme val="minor"/>
    </font>
    <font>
      <b/>
      <sz val="48"/>
      <color rgb="FF993300"/>
      <name val="Arial"/>
      <family val="2"/>
    </font>
    <font>
      <b/>
      <sz val="18"/>
      <name val="Arial"/>
      <family val="2"/>
    </font>
    <font>
      <b/>
      <sz val="12"/>
      <name val="Arial"/>
      <family val="2"/>
    </font>
    <font>
      <sz val="10"/>
      <color rgb="FF000000"/>
      <name val="Arial"/>
      <family val="2"/>
    </font>
    <font>
      <sz val="12"/>
      <name val="Arial"/>
      <family val="2"/>
    </font>
    <font>
      <b/>
      <sz val="11"/>
      <color rgb="FF800000"/>
      <name val="Arial"/>
      <family val="2"/>
    </font>
    <font>
      <sz val="11"/>
      <color rgb="FF000000"/>
      <name val="Arial"/>
      <family val="2"/>
    </font>
    <font>
      <b/>
      <sz val="11"/>
      <color rgb="FF000000"/>
      <name val="Arial"/>
      <family val="2"/>
    </font>
    <font>
      <sz val="10"/>
      <color rgb="FFFFFFFF"/>
      <name val="Arial"/>
      <family val="2"/>
    </font>
    <font>
      <b/>
      <sz val="12"/>
      <color rgb="FFFF0000"/>
      <name val="Arial"/>
      <family val="2"/>
    </font>
    <font>
      <b/>
      <sz val="9"/>
      <color rgb="FFFFFFFF"/>
      <name val="Arial"/>
      <family val="2"/>
    </font>
    <font>
      <b/>
      <sz val="11"/>
      <name val="Arial"/>
      <family val="2"/>
    </font>
    <font>
      <b/>
      <i/>
      <sz val="14"/>
      <color rgb="FFA6A6A6"/>
      <name val="Arial"/>
      <family val="2"/>
    </font>
    <font>
      <b/>
      <sz val="28"/>
      <color rgb="FF993300"/>
      <name val="Arial"/>
      <family val="2"/>
    </font>
    <font>
      <sz val="12"/>
      <color theme="1"/>
      <name val="Garamond"/>
      <family val="1"/>
    </font>
    <font>
      <sz val="12"/>
      <color rgb="FF000000"/>
      <name val="Garamond"/>
      <family val="1"/>
    </font>
    <font>
      <b/>
      <sz val="12"/>
      <color theme="0" tint="-0.34998626667073579"/>
      <name val="Titillium Web"/>
    </font>
  </fonts>
  <fills count="2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
      <patternFill patternType="solid">
        <fgColor rgb="FFB8CCE4"/>
        <bgColor indexed="64"/>
      </patternFill>
    </fill>
    <fill>
      <patternFill patternType="solid">
        <fgColor rgb="FFDBE5F1"/>
        <bgColor indexed="64"/>
      </patternFill>
    </fill>
    <fill>
      <patternFill patternType="solid">
        <fgColor rgb="FFFF9900"/>
        <bgColor indexed="64"/>
      </patternFill>
    </fill>
  </fills>
  <borders count="9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F81BD"/>
      </left>
      <right style="medium">
        <color rgb="FF4F81BD"/>
      </right>
      <top style="medium">
        <color rgb="FF4F81BD"/>
      </top>
      <bottom style="medium">
        <color rgb="FF4F81BD"/>
      </bottom>
      <diagonal/>
    </border>
    <border>
      <left/>
      <right style="medium">
        <color rgb="FF4F81BD"/>
      </right>
      <top style="medium">
        <color rgb="FF4F81BD"/>
      </top>
      <bottom style="medium">
        <color rgb="FF4F81BD"/>
      </bottom>
      <diagonal/>
    </border>
    <border>
      <left/>
      <right/>
      <top style="medium">
        <color rgb="FF4F81BD"/>
      </top>
      <bottom style="medium">
        <color rgb="FF4F81BD"/>
      </bottom>
      <diagonal/>
    </border>
    <border>
      <left style="medium">
        <color rgb="FF4F81BD"/>
      </left>
      <right style="medium">
        <color rgb="FF4F81BD"/>
      </right>
      <top/>
      <bottom style="medium">
        <color rgb="FF4F81BD"/>
      </bottom>
      <diagonal/>
    </border>
    <border>
      <left style="medium">
        <color rgb="FF4F81BD"/>
      </left>
      <right style="medium">
        <color rgb="FF4F81BD"/>
      </right>
      <top/>
      <bottom/>
      <diagonal/>
    </border>
    <border>
      <left/>
      <right style="medium">
        <color rgb="FF4F81BD"/>
      </right>
      <top/>
      <bottom style="medium">
        <color rgb="FF4F81BD"/>
      </bottom>
      <diagonal/>
    </border>
    <border>
      <left/>
      <right style="medium">
        <color rgb="FF4F81BD"/>
      </right>
      <top/>
      <bottom/>
      <diagonal/>
    </border>
    <border>
      <left style="medium">
        <color rgb="FF4F81BD"/>
      </left>
      <right/>
      <top style="medium">
        <color rgb="FF4F81BD"/>
      </top>
      <bottom style="medium">
        <color rgb="FF4F81BD"/>
      </bottom>
      <diagonal/>
    </border>
    <border>
      <left style="medium">
        <color rgb="FF4F81BD"/>
      </left>
      <right style="medium">
        <color rgb="FF4F81BD"/>
      </right>
      <top style="medium">
        <color rgb="FF4F81BD"/>
      </top>
      <bottom/>
      <diagonal/>
    </border>
    <border>
      <left/>
      <right style="medium">
        <color rgb="FF4F81BD"/>
      </right>
      <top style="medium">
        <color rgb="FF4F81BD"/>
      </top>
      <bottom/>
      <diagonal/>
    </border>
    <border>
      <left/>
      <right/>
      <top style="medium">
        <color rgb="FF4F81BD"/>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04">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3"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49" fontId="58" fillId="16" borderId="0" xfId="0" applyNumberFormat="1" applyFont="1" applyFill="1" applyAlignment="1" applyProtection="1">
      <alignment horizontal="center" vertical="center" wrapText="1"/>
      <protection locked="0"/>
    </xf>
    <xf numFmtId="0" fontId="60" fillId="18" borderId="33" xfId="0" applyFont="1" applyFill="1" applyBorder="1" applyAlignment="1" applyProtection="1">
      <alignment horizontal="center" vertical="center" wrapText="1"/>
      <protection locked="0"/>
    </xf>
    <xf numFmtId="0" fontId="61" fillId="0" borderId="33" xfId="0" applyFont="1" applyBorder="1" applyAlignment="1">
      <alignment horizontal="left" vertical="top" wrapText="1"/>
    </xf>
    <xf numFmtId="49" fontId="65" fillId="19" borderId="0" xfId="0" applyNumberFormat="1" applyFont="1" applyFill="1" applyAlignment="1" applyProtection="1">
      <alignment vertical="center" wrapText="1"/>
      <protection locked="0"/>
    </xf>
    <xf numFmtId="0" fontId="66" fillId="19" borderId="0" xfId="0" applyFont="1" applyFill="1" applyAlignment="1" applyProtection="1">
      <alignment horizontal="left" vertical="center" wrapText="1"/>
      <protection locked="0"/>
    </xf>
    <xf numFmtId="0" fontId="67" fillId="19" borderId="0" xfId="0" applyFont="1" applyFill="1" applyAlignment="1" applyProtection="1">
      <alignment vertical="center" wrapText="1"/>
      <protection locked="0"/>
    </xf>
    <xf numFmtId="0" fontId="70" fillId="19" borderId="0" xfId="0" applyFont="1" applyFill="1" applyAlignment="1" applyProtection="1">
      <alignment horizontal="center" vertical="center" wrapText="1"/>
      <protection locked="0"/>
    </xf>
    <xf numFmtId="0" fontId="70" fillId="19" borderId="0" xfId="0" applyFont="1" applyFill="1" applyAlignment="1" applyProtection="1">
      <alignment vertical="center" wrapText="1"/>
      <protection locked="0"/>
    </xf>
    <xf numFmtId="0" fontId="71" fillId="19" borderId="0" xfId="0" applyFont="1" applyFill="1" applyAlignment="1" applyProtection="1">
      <alignment vertical="center" wrapText="1"/>
      <protection locked="0"/>
    </xf>
    <xf numFmtId="0" fontId="66" fillId="19" borderId="0" xfId="0" applyFont="1" applyFill="1" applyAlignment="1" applyProtection="1">
      <alignment horizontal="center" vertical="center" wrapText="1"/>
      <protection locked="0"/>
    </xf>
    <xf numFmtId="0" fontId="63" fillId="19" borderId="0" xfId="0" applyFont="1" applyFill="1" applyAlignment="1" applyProtection="1">
      <alignment horizontal="center" vertical="center"/>
      <protection locked="0"/>
    </xf>
    <xf numFmtId="0" fontId="67" fillId="19" borderId="0" xfId="0" applyFont="1" applyFill="1" applyAlignment="1" applyProtection="1">
      <alignment horizontal="center" vertical="center" wrapText="1"/>
      <protection locked="0"/>
    </xf>
    <xf numFmtId="0" fontId="67" fillId="19" borderId="0" xfId="0" applyFont="1" applyFill="1" applyAlignment="1" applyProtection="1">
      <alignment horizontal="center" vertical="center"/>
      <protection locked="0"/>
    </xf>
    <xf numFmtId="0" fontId="72" fillId="19" borderId="0" xfId="0" applyFont="1" applyFill="1" applyAlignment="1" applyProtection="1">
      <alignment horizontal="center" vertical="center"/>
      <protection locked="0"/>
    </xf>
    <xf numFmtId="2" fontId="68" fillId="19" borderId="0" xfId="0" applyNumberFormat="1" applyFont="1" applyFill="1" applyAlignment="1" applyProtection="1">
      <alignment horizontal="center" vertical="center" wrapText="1"/>
      <protection locked="0"/>
    </xf>
    <xf numFmtId="0" fontId="73" fillId="19" borderId="0" xfId="0" applyFont="1" applyFill="1" applyAlignment="1" applyProtection="1">
      <alignment horizontal="left" vertical="center"/>
      <protection locked="0"/>
    </xf>
    <xf numFmtId="165" fontId="66" fillId="19" borderId="0" xfId="0" applyNumberFormat="1" applyFont="1" applyFill="1" applyAlignment="1" applyProtection="1">
      <alignment horizontal="center" vertical="center"/>
      <protection locked="0"/>
    </xf>
    <xf numFmtId="0" fontId="48" fillId="19" borderId="0" xfId="0" applyFont="1" applyFill="1" applyAlignment="1" applyProtection="1">
      <alignment vertical="center" wrapText="1"/>
      <protection locked="0"/>
    </xf>
    <xf numFmtId="0" fontId="74" fillId="20" borderId="0" xfId="0" applyFont="1" applyFill="1" applyAlignment="1" applyProtection="1">
      <alignment horizontal="center" vertical="center" wrapText="1"/>
      <protection locked="0"/>
    </xf>
    <xf numFmtId="2" fontId="68" fillId="20" borderId="0" xfId="0" applyNumberFormat="1" applyFont="1" applyFill="1" applyAlignment="1" applyProtection="1">
      <alignment horizontal="center" vertical="center" wrapText="1"/>
      <protection hidden="1"/>
    </xf>
    <xf numFmtId="0" fontId="75" fillId="20" borderId="0" xfId="0" applyFont="1" applyFill="1" applyAlignment="1" applyProtection="1">
      <alignment horizontal="center" vertical="center" wrapText="1"/>
      <protection hidden="1"/>
    </xf>
    <xf numFmtId="0" fontId="70" fillId="19" borderId="69" xfId="0" applyFont="1" applyFill="1" applyBorder="1" applyAlignment="1" applyProtection="1">
      <alignment vertical="center" wrapText="1"/>
      <protection locked="0"/>
    </xf>
    <xf numFmtId="0" fontId="69" fillId="0" borderId="33" xfId="0" applyFont="1" applyBorder="1" applyAlignment="1" applyProtection="1">
      <alignment horizontal="center" vertical="center" wrapText="1"/>
      <protection locked="0"/>
    </xf>
    <xf numFmtId="49" fontId="64" fillId="19" borderId="0" xfId="0" applyNumberFormat="1" applyFont="1" applyFill="1" applyAlignment="1" applyProtection="1">
      <alignment vertical="center" wrapText="1"/>
      <protection locked="0"/>
    </xf>
    <xf numFmtId="0" fontId="37" fillId="0" borderId="0" xfId="0" applyFont="1" applyAlignment="1">
      <alignment vertical="center"/>
    </xf>
    <xf numFmtId="0" fontId="78" fillId="21" borderId="81" xfId="0" applyFont="1" applyFill="1" applyBorder="1" applyAlignment="1">
      <alignment horizontal="center" vertical="center" wrapText="1"/>
    </xf>
    <xf numFmtId="0" fontId="79" fillId="21" borderId="82" xfId="0" applyFont="1" applyFill="1" applyBorder="1" applyAlignment="1">
      <alignment horizontal="center" vertical="center" wrapText="1"/>
    </xf>
    <xf numFmtId="0" fontId="79" fillId="22" borderId="87" xfId="0" applyFont="1" applyFill="1" applyBorder="1" applyAlignment="1">
      <alignment horizontal="center" vertical="center" wrapText="1"/>
    </xf>
    <xf numFmtId="0" fontId="78" fillId="0" borderId="87" xfId="0" applyFont="1" applyBorder="1" applyAlignment="1">
      <alignment horizontal="center" vertical="center" wrapText="1"/>
    </xf>
    <xf numFmtId="0" fontId="79" fillId="22" borderId="86" xfId="0" applyFont="1" applyFill="1" applyBorder="1" applyAlignment="1">
      <alignment horizontal="center" vertical="center" wrapText="1"/>
    </xf>
    <xf numFmtId="0" fontId="78" fillId="0" borderId="86" xfId="0" applyFont="1" applyBorder="1" applyAlignment="1">
      <alignment horizontal="center" vertical="center" wrapText="1"/>
    </xf>
    <xf numFmtId="0" fontId="37" fillId="0" borderId="86" xfId="0" applyFont="1" applyBorder="1" applyAlignment="1">
      <alignment vertical="center" wrapText="1"/>
    </xf>
    <xf numFmtId="0" fontId="37" fillId="0" borderId="86" xfId="0" applyFont="1" applyBorder="1" applyAlignment="1">
      <alignment horizontal="center" vertical="center" wrapText="1"/>
    </xf>
    <xf numFmtId="0" fontId="79" fillId="22" borderId="90" xfId="0" applyFont="1" applyFill="1" applyBorder="1" applyAlignment="1">
      <alignment horizontal="center" vertical="center" wrapText="1"/>
    </xf>
    <xf numFmtId="0" fontId="78" fillId="0" borderId="90" xfId="0" applyFont="1" applyBorder="1" applyAlignment="1">
      <alignment horizontal="center" vertical="center" wrapText="1"/>
    </xf>
    <xf numFmtId="164" fontId="1" fillId="0" borderId="2" xfId="1" applyNumberFormat="1" applyFont="1" applyBorder="1" applyAlignment="1">
      <alignment horizontal="center" vertical="center"/>
    </xf>
    <xf numFmtId="0" fontId="37" fillId="0" borderId="33" xfId="0" applyFont="1" applyBorder="1" applyAlignment="1">
      <alignment horizontal="center" vertical="center"/>
    </xf>
    <xf numFmtId="0" fontId="37" fillId="5" borderId="33" xfId="0" applyFont="1" applyFill="1" applyBorder="1" applyAlignment="1">
      <alignment horizontal="center" vertical="center"/>
    </xf>
    <xf numFmtId="0" fontId="78" fillId="0" borderId="0" xfId="0" applyFont="1" applyAlignment="1">
      <alignment horizontal="center" vertical="center" wrapText="1"/>
    </xf>
    <xf numFmtId="0" fontId="37" fillId="23" borderId="33" xfId="0" applyFont="1" applyFill="1" applyBorder="1" applyAlignment="1">
      <alignment vertical="center"/>
    </xf>
    <xf numFmtId="0" fontId="78" fillId="0" borderId="91" xfId="0" applyFont="1" applyBorder="1" applyAlignment="1">
      <alignment horizontal="center" vertical="center" wrapText="1"/>
    </xf>
    <xf numFmtId="9" fontId="1" fillId="0" borderId="4" xfId="0" applyNumberFormat="1" applyFont="1" applyBorder="1" applyAlignment="1" applyProtection="1">
      <alignment horizontal="center" vertical="center"/>
      <protection hidden="1"/>
    </xf>
    <xf numFmtId="0" fontId="1" fillId="0" borderId="4" xfId="0" applyFont="1" applyBorder="1" applyAlignment="1" applyProtection="1">
      <alignment horizontal="center" vertical="center" textRotation="90"/>
      <protection locked="0"/>
    </xf>
    <xf numFmtId="0" fontId="1" fillId="0" borderId="4" xfId="0" applyFont="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1" fillId="0" borderId="4"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 fillId="0" borderId="4" xfId="0" applyFont="1" applyBorder="1" applyAlignment="1">
      <alignment horizontal="center" vertical="center" wrapText="1"/>
    </xf>
    <xf numFmtId="9" fontId="1" fillId="0" borderId="4" xfId="0" applyNumberFormat="1" applyFont="1" applyBorder="1" applyAlignment="1" applyProtection="1">
      <alignment horizontal="center" vertical="center" wrapText="1"/>
      <protection locked="0"/>
    </xf>
    <xf numFmtId="0" fontId="70" fillId="0" borderId="0" xfId="0" applyFont="1" applyAlignment="1" applyProtection="1">
      <alignment vertical="center" wrapText="1"/>
      <protection locked="0"/>
    </xf>
    <xf numFmtId="0" fontId="61" fillId="0" borderId="33" xfId="0" applyFont="1" applyBorder="1" applyAlignment="1">
      <alignment horizontal="left" vertical="center" wrapText="1"/>
    </xf>
    <xf numFmtId="0" fontId="80" fillId="0" borderId="33" xfId="0" applyFont="1" applyBorder="1" applyAlignment="1">
      <alignment horizontal="left" vertical="center" wrapText="1"/>
    </xf>
    <xf numFmtId="0" fontId="80" fillId="0" borderId="33" xfId="0" applyFont="1" applyBorder="1" applyAlignment="1">
      <alignment horizontal="left" vertical="top" wrapText="1"/>
    </xf>
    <xf numFmtId="0" fontId="61" fillId="0" borderId="75" xfId="0" applyFont="1" applyBorder="1" applyAlignment="1">
      <alignment horizontal="left" vertical="center" wrapText="1"/>
    </xf>
    <xf numFmtId="0" fontId="2" fillId="0" borderId="33" xfId="0" applyFont="1" applyBorder="1" applyAlignment="1" applyProtection="1">
      <alignment horizontal="center" vertical="center" wrapText="1"/>
      <protection locked="0"/>
    </xf>
    <xf numFmtId="14" fontId="2" fillId="0" borderId="33" xfId="0" applyNumberFormat="1" applyFont="1" applyBorder="1" applyAlignment="1" applyProtection="1">
      <alignment horizontal="center" vertical="center" wrapText="1"/>
      <protection locked="0"/>
    </xf>
    <xf numFmtId="0" fontId="2" fillId="19" borderId="33" xfId="0" applyFont="1" applyFill="1" applyBorder="1" applyAlignment="1" applyProtection="1">
      <alignment horizontal="center" vertical="center" wrapText="1"/>
      <protection locked="0"/>
    </xf>
    <xf numFmtId="14" fontId="2" fillId="19" borderId="33" xfId="0" applyNumberFormat="1" applyFont="1" applyFill="1" applyBorder="1" applyAlignment="1" applyProtection="1">
      <alignment horizontal="center" vertical="center" wrapText="1"/>
      <protection locked="0"/>
    </xf>
    <xf numFmtId="0" fontId="68" fillId="0" borderId="69" xfId="0" applyFont="1" applyBorder="1" applyAlignment="1" applyProtection="1">
      <alignment horizontal="right" vertical="center"/>
      <protection locked="0"/>
    </xf>
    <xf numFmtId="0" fontId="63" fillId="19" borderId="0" xfId="0" applyFont="1" applyFill="1" applyAlignment="1" applyProtection="1">
      <alignment vertical="center"/>
      <protection locked="0"/>
    </xf>
    <xf numFmtId="0" fontId="67" fillId="19" borderId="0" xfId="0" applyFont="1" applyFill="1" applyAlignment="1" applyProtection="1">
      <alignment vertical="center"/>
      <protection locked="0"/>
    </xf>
    <xf numFmtId="14" fontId="68" fillId="0" borderId="69" xfId="0" applyNumberFormat="1" applyFont="1" applyBorder="1" applyAlignment="1" applyProtection="1">
      <alignment horizontal="right" vertical="center"/>
      <protection locked="0"/>
    </xf>
    <xf numFmtId="0" fontId="69" fillId="19" borderId="0" xfId="0" applyFont="1" applyFill="1" applyAlignment="1" applyProtection="1">
      <alignment horizontal="right" vertical="center" wrapText="1"/>
      <protection locked="0"/>
    </xf>
    <xf numFmtId="0" fontId="72" fillId="19" borderId="0" xfId="0" applyFont="1" applyFill="1" applyAlignment="1" applyProtection="1">
      <alignment vertical="center"/>
      <protection locked="0"/>
    </xf>
    <xf numFmtId="0" fontId="63" fillId="0" borderId="0" xfId="0" applyFont="1" applyAlignment="1" applyProtection="1">
      <alignment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0" fontId="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justify" vertical="center"/>
      <protection locked="0"/>
    </xf>
    <xf numFmtId="14" fontId="1" fillId="0" borderId="4" xfId="0" applyNumberFormat="1" applyFont="1" applyBorder="1" applyAlignment="1" applyProtection="1">
      <alignment horizontal="center" vertical="center"/>
      <protection locked="0"/>
    </xf>
    <xf numFmtId="0" fontId="6" fillId="0" borderId="2" xfId="0" applyFont="1" applyBorder="1" applyAlignment="1" applyProtection="1">
      <alignment vertical="center" wrapText="1"/>
      <protection locked="0"/>
    </xf>
    <xf numFmtId="0" fontId="1" fillId="0" borderId="2" xfId="0" applyFont="1" applyBorder="1" applyAlignment="1" applyProtection="1">
      <alignment horizontal="justify" vertical="center" wrapText="1"/>
      <protection locked="0"/>
    </xf>
    <xf numFmtId="0" fontId="6" fillId="0" borderId="4" xfId="0" applyFont="1" applyBorder="1" applyAlignment="1" applyProtection="1">
      <alignment horizontal="justify" vertical="center" wrapText="1"/>
      <protection locked="0"/>
    </xf>
    <xf numFmtId="0" fontId="1" fillId="0" borderId="4" xfId="0" applyFont="1" applyBorder="1" applyAlignment="1">
      <alignment horizontal="left" vertical="center" wrapText="1"/>
    </xf>
    <xf numFmtId="0" fontId="1" fillId="0" borderId="2" xfId="0" applyFont="1" applyBorder="1" applyAlignment="1" applyProtection="1">
      <alignment horizontal="center" vertical="center" textRotation="90" wrapText="1"/>
      <protection locked="0"/>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0" fontId="62" fillId="3" borderId="48" xfId="2" applyFont="1" applyFill="1" applyBorder="1" applyAlignment="1">
      <alignment horizontal="center" vertical="center" wrapText="1"/>
    </xf>
    <xf numFmtId="0" fontId="62" fillId="3" borderId="49" xfId="2" applyFont="1" applyFill="1" applyBorder="1" applyAlignment="1">
      <alignment horizontal="center" vertical="center" wrapText="1"/>
    </xf>
    <xf numFmtId="0" fontId="62" fillId="3"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49" fontId="57" fillId="16" borderId="0" xfId="0" applyNumberFormat="1" applyFont="1" applyFill="1" applyAlignment="1" applyProtection="1">
      <alignment horizontal="right" vertical="center" wrapText="1"/>
      <protection locked="0"/>
    </xf>
    <xf numFmtId="0" fontId="59" fillId="17" borderId="75" xfId="0" applyFont="1" applyFill="1" applyBorder="1" applyAlignment="1">
      <alignment horizontal="center" vertical="center" wrapText="1"/>
    </xf>
    <xf numFmtId="0" fontId="59" fillId="17" borderId="76" xfId="0" applyFont="1" applyFill="1" applyBorder="1" applyAlignment="1">
      <alignment horizontal="center" vertical="center" wrapText="1"/>
    </xf>
    <xf numFmtId="0" fontId="59" fillId="17" borderId="34" xfId="0" applyFont="1" applyFill="1" applyBorder="1" applyAlignment="1">
      <alignment horizontal="center" vertical="center" wrapText="1"/>
    </xf>
    <xf numFmtId="0" fontId="61" fillId="0" borderId="33" xfId="0" applyFont="1" applyBorder="1" applyAlignment="1">
      <alignment horizontal="left" vertical="center" wrapText="1"/>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0" fontId="4" fillId="0" borderId="4"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wrapText="1"/>
      <protection locked="0"/>
    </xf>
    <xf numFmtId="0" fontId="1" fillId="0" borderId="5" xfId="0" applyFont="1" applyBorder="1" applyAlignment="1" applyProtection="1">
      <alignment horizontal="center" vertical="center" textRotation="90" wrapText="1"/>
      <protection locked="0"/>
    </xf>
    <xf numFmtId="0" fontId="1" fillId="0" borderId="4"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14" fontId="1" fillId="0" borderId="4" xfId="0" applyNumberFormat="1" applyFont="1" applyBorder="1" applyAlignment="1" applyProtection="1">
      <alignment horizontal="center" vertical="center"/>
      <protection locked="0"/>
    </xf>
    <xf numFmtId="14" fontId="1" fillId="0" borderId="5" xfId="0" applyNumberFormat="1"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1" fillId="0" borderId="8"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14" fontId="1" fillId="0" borderId="8" xfId="0" applyNumberFormat="1" applyFont="1" applyBorder="1" applyAlignment="1" applyProtection="1">
      <alignment horizontal="center" vertical="center"/>
      <protection locked="0"/>
    </xf>
    <xf numFmtId="0" fontId="1" fillId="0" borderId="8" xfId="0" applyFont="1" applyBorder="1" applyAlignment="1" applyProtection="1">
      <alignment horizontal="center" vertical="center" textRotation="90"/>
      <protection locked="0"/>
    </xf>
    <xf numFmtId="9" fontId="1" fillId="0" borderId="8" xfId="0" applyNumberFormat="1" applyFont="1" applyBorder="1" applyAlignment="1" applyProtection="1">
      <alignment horizontal="center" vertical="center"/>
      <protection hidden="1"/>
    </xf>
    <xf numFmtId="0" fontId="4" fillId="0" borderId="8" xfId="0" applyFont="1" applyBorder="1" applyAlignment="1" applyProtection="1">
      <alignment horizontal="center" vertical="center" textRotation="90" wrapText="1"/>
      <protection hidden="1"/>
    </xf>
    <xf numFmtId="0" fontId="4" fillId="0" borderId="8" xfId="0" applyFont="1" applyBorder="1" applyAlignment="1" applyProtection="1">
      <alignment horizontal="center" vertical="center" textRotation="90"/>
      <protection hidden="1"/>
    </xf>
    <xf numFmtId="0" fontId="1" fillId="0" borderId="8" xfId="0" applyFont="1" applyBorder="1" applyAlignment="1" applyProtection="1">
      <alignment horizontal="center" vertical="center"/>
      <protection hidden="1"/>
    </xf>
    <xf numFmtId="0" fontId="6" fillId="0" borderId="8" xfId="0" applyFont="1" applyBorder="1" applyAlignment="1" applyProtection="1">
      <alignment horizontal="left" vertical="center" wrapText="1"/>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8" xfId="0" applyNumberFormat="1" applyFont="1" applyBorder="1" applyAlignment="1" applyProtection="1">
      <alignment horizontal="center" vertical="center" wrapText="1"/>
      <protection hidden="1"/>
    </xf>
    <xf numFmtId="0" fontId="4" fillId="0" borderId="8" xfId="0" applyFont="1" applyBorder="1" applyAlignment="1" applyProtection="1">
      <alignment horizontal="center" vertical="center"/>
      <protection hidden="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49" fontId="77" fillId="19" borderId="0" xfId="0" applyNumberFormat="1" applyFont="1" applyFill="1" applyAlignment="1" applyProtection="1">
      <alignment horizontal="center" vertical="center" wrapText="1"/>
      <protection locked="0"/>
    </xf>
    <xf numFmtId="2" fontId="68" fillId="20" borderId="0" xfId="0" applyNumberFormat="1" applyFont="1" applyFill="1" applyAlignment="1" applyProtection="1">
      <alignment horizontal="center" vertical="center" wrapText="1"/>
      <protection hidden="1"/>
    </xf>
    <xf numFmtId="0" fontId="76" fillId="19" borderId="0" xfId="0" applyFont="1" applyFill="1" applyAlignment="1" applyProtection="1">
      <alignment horizontal="left" vertical="center"/>
      <protection locked="0"/>
    </xf>
    <xf numFmtId="0" fontId="69" fillId="0" borderId="77" xfId="0" applyFont="1" applyBorder="1" applyAlignment="1" applyProtection="1">
      <alignment horizontal="center" vertical="center" wrapText="1"/>
      <protection locked="0"/>
    </xf>
    <xf numFmtId="0" fontId="74" fillId="20" borderId="0" xfId="0" applyFont="1" applyFill="1" applyAlignment="1" applyProtection="1">
      <alignment horizontal="center" vertical="center" wrapText="1"/>
      <protection locked="0"/>
    </xf>
    <xf numFmtId="0" fontId="69" fillId="0" borderId="78" xfId="0" applyFont="1" applyBorder="1" applyAlignment="1" applyProtection="1">
      <alignment horizontal="center" vertical="center" wrapText="1"/>
      <protection locked="0"/>
    </xf>
    <xf numFmtId="0" fontId="69" fillId="0" borderId="79" xfId="0" applyFont="1" applyBorder="1" applyAlignment="1" applyProtection="1">
      <alignment horizontal="center" vertical="center" wrapText="1"/>
      <protection locked="0"/>
    </xf>
    <xf numFmtId="0" fontId="69" fillId="0" borderId="80" xfId="0" applyFont="1" applyBorder="1" applyAlignment="1" applyProtection="1">
      <alignment horizontal="center" vertical="center" wrapText="1"/>
      <protection locked="0"/>
    </xf>
    <xf numFmtId="0" fontId="2" fillId="0" borderId="78" xfId="0" applyFont="1" applyBorder="1" applyAlignment="1" applyProtection="1">
      <alignment horizontal="left" vertical="center" wrapText="1"/>
      <protection locked="0"/>
    </xf>
    <xf numFmtId="0" fontId="2" fillId="0" borderId="79" xfId="0" applyFont="1" applyBorder="1" applyAlignment="1" applyProtection="1">
      <alignment horizontal="left" vertical="center" wrapText="1"/>
      <protection locked="0"/>
    </xf>
    <xf numFmtId="0" fontId="2" fillId="0" borderId="80" xfId="0" applyFont="1" applyBorder="1" applyAlignment="1" applyProtection="1">
      <alignment horizontal="left"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79" fillId="22" borderId="89" xfId="0" applyFont="1" applyFill="1" applyBorder="1" applyAlignment="1">
      <alignment horizontal="center" vertical="center" wrapText="1"/>
    </xf>
    <xf numFmtId="0" fontId="79" fillId="22" borderId="84" xfId="0" applyFont="1" applyFill="1" applyBorder="1" applyAlignment="1">
      <alignment horizontal="center" vertical="center" wrapText="1"/>
    </xf>
    <xf numFmtId="0" fontId="78" fillId="0" borderId="89" xfId="0" applyFont="1" applyBorder="1" applyAlignment="1">
      <alignment horizontal="center" vertical="center" wrapText="1"/>
    </xf>
    <xf numFmtId="0" fontId="78" fillId="0" borderId="84" xfId="0" applyFont="1" applyBorder="1" applyAlignment="1">
      <alignment horizontal="center" vertical="center" wrapText="1"/>
    </xf>
    <xf numFmtId="0" fontId="79" fillId="21" borderId="88" xfId="0" applyFont="1" applyFill="1" applyBorder="1" applyAlignment="1">
      <alignment horizontal="center" vertical="center" wrapText="1"/>
    </xf>
    <xf numFmtId="0" fontId="79" fillId="21" borderId="83" xfId="0" applyFont="1" applyFill="1" applyBorder="1" applyAlignment="1">
      <alignment horizontal="center" vertical="center" wrapText="1"/>
    </xf>
    <xf numFmtId="0" fontId="79" fillId="21" borderId="82" xfId="0" applyFont="1" applyFill="1" applyBorder="1" applyAlignment="1">
      <alignment horizontal="center" vertical="center" wrapText="1"/>
    </xf>
    <xf numFmtId="0" fontId="79" fillId="22" borderId="85" xfId="0" applyFont="1" applyFill="1" applyBorder="1" applyAlignment="1">
      <alignment horizontal="center" vertical="center" wrapText="1"/>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14" fontId="2" fillId="0" borderId="33" xfId="0" applyNumberFormat="1" applyFont="1" applyFill="1" applyBorder="1" applyAlignment="1" applyProtection="1">
      <alignment horizontal="center"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96">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pivotCacheDefinition" Target="pivotCache/pivotCacheDefinition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2171700</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13</xdr:row>
      <xdr:rowOff>0</xdr:rowOff>
    </xdr:from>
    <xdr:to>
      <xdr:col>16</xdr:col>
      <xdr:colOff>320675</xdr:colOff>
      <xdr:row>14</xdr:row>
      <xdr:rowOff>69056</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14</xdr:row>
      <xdr:rowOff>69056</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14</xdr:row>
      <xdr:rowOff>69056</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14</xdr:row>
      <xdr:rowOff>69056</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8</xdr:row>
      <xdr:rowOff>409720</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29</xdr:col>
      <xdr:colOff>159255</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4</xdr:col>
      <xdr:colOff>1509713</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9" name="AutoShape 38" descr="Resultado de imagen para boton agregar icono">
          <a:extLst>
            <a:ext uri="{FF2B5EF4-FFF2-40B4-BE49-F238E27FC236}">
              <a16:creationId xmlns:a16="http://schemas.microsoft.com/office/drawing/2014/main" id="{0F5DE8EE-84E8-4148-8A4B-4FFB1D2F5F2B}"/>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10" name="AutoShape 39" descr="Resultado de imagen para boton agregar icono">
          <a:extLst>
            <a:ext uri="{FF2B5EF4-FFF2-40B4-BE49-F238E27FC236}">
              <a16:creationId xmlns:a16="http://schemas.microsoft.com/office/drawing/2014/main" id="{0629A2AA-560C-417A-AC5E-BFD897D616FA}"/>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11" name="AutoShape 40" descr="Resultado de imagen para boton agregar icono">
          <a:extLst>
            <a:ext uri="{FF2B5EF4-FFF2-40B4-BE49-F238E27FC236}">
              <a16:creationId xmlns:a16="http://schemas.microsoft.com/office/drawing/2014/main" id="{40C5994C-5280-4F3D-83D8-5FACFFE4E3D0}"/>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12" name="AutoShape 42" descr="Z">
          <a:extLst>
            <a:ext uri="{FF2B5EF4-FFF2-40B4-BE49-F238E27FC236}">
              <a16:creationId xmlns:a16="http://schemas.microsoft.com/office/drawing/2014/main" id="{35322AD8-8B4F-4274-A05B-F4A41F4C2187}"/>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8</xdr:row>
      <xdr:rowOff>411308</xdr:rowOff>
    </xdr:to>
    <xdr:sp macro="" textlink="">
      <xdr:nvSpPr>
        <xdr:cNvPr id="13" name="Rectangle 53">
          <a:extLst>
            <a:ext uri="{FF2B5EF4-FFF2-40B4-BE49-F238E27FC236}">
              <a16:creationId xmlns:a16="http://schemas.microsoft.com/office/drawing/2014/main" id="{6C269F37-C6C5-48D6-AA15-D3D745D193A7}"/>
            </a:ext>
          </a:extLst>
        </xdr:cNvPr>
        <xdr:cNvSpPr>
          <a:spLocks noChangeArrowheads="1"/>
        </xdr:cNvSpPr>
      </xdr:nvSpPr>
      <xdr:spPr bwMode="auto">
        <a:xfrm>
          <a:off x="21885275" y="2289175"/>
          <a:ext cx="0" cy="27954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14" name="AutoShape 38" descr="Resultado de imagen para boton agregar icono">
          <a:extLst>
            <a:ext uri="{FF2B5EF4-FFF2-40B4-BE49-F238E27FC236}">
              <a16:creationId xmlns:a16="http://schemas.microsoft.com/office/drawing/2014/main" id="{338B1509-A702-42DF-B825-4A4B92A8CC43}"/>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15" name="AutoShape 39" descr="Resultado de imagen para boton agregar icono">
          <a:extLst>
            <a:ext uri="{FF2B5EF4-FFF2-40B4-BE49-F238E27FC236}">
              <a16:creationId xmlns:a16="http://schemas.microsoft.com/office/drawing/2014/main" id="{FFF74909-C8B1-4C5D-9BCC-29CB4EB0422F}"/>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16" name="AutoShape 40" descr="Resultado de imagen para boton agregar icono">
          <a:extLst>
            <a:ext uri="{FF2B5EF4-FFF2-40B4-BE49-F238E27FC236}">
              <a16:creationId xmlns:a16="http://schemas.microsoft.com/office/drawing/2014/main" id="{DC2B49B3-C20B-40F5-974D-99F651A55170}"/>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17" name="AutoShape 42" descr="Z">
          <a:extLst>
            <a:ext uri="{FF2B5EF4-FFF2-40B4-BE49-F238E27FC236}">
              <a16:creationId xmlns:a16="http://schemas.microsoft.com/office/drawing/2014/main" id="{0F2D02C7-ED38-4F9E-9A8C-022875C31D91}"/>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8</xdr:row>
      <xdr:rowOff>411308</xdr:rowOff>
    </xdr:to>
    <xdr:sp macro="" textlink="">
      <xdr:nvSpPr>
        <xdr:cNvPr id="18" name="Rectangle 53">
          <a:extLst>
            <a:ext uri="{FF2B5EF4-FFF2-40B4-BE49-F238E27FC236}">
              <a16:creationId xmlns:a16="http://schemas.microsoft.com/office/drawing/2014/main" id="{5DAB845D-20DE-4C10-831D-0188880C2E9E}"/>
            </a:ext>
          </a:extLst>
        </xdr:cNvPr>
        <xdr:cNvSpPr>
          <a:spLocks noChangeArrowheads="1"/>
        </xdr:cNvSpPr>
      </xdr:nvSpPr>
      <xdr:spPr bwMode="auto">
        <a:xfrm>
          <a:off x="21885275" y="2289175"/>
          <a:ext cx="0" cy="27954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19" name="AutoShape 38" descr="Resultado de imagen para boton agregar icono">
          <a:extLst>
            <a:ext uri="{FF2B5EF4-FFF2-40B4-BE49-F238E27FC236}">
              <a16:creationId xmlns:a16="http://schemas.microsoft.com/office/drawing/2014/main" id="{97AD59CB-23F6-48DA-BB3E-B8216F605EA6}"/>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20" name="AutoShape 39" descr="Resultado de imagen para boton agregar icono">
          <a:extLst>
            <a:ext uri="{FF2B5EF4-FFF2-40B4-BE49-F238E27FC236}">
              <a16:creationId xmlns:a16="http://schemas.microsoft.com/office/drawing/2014/main" id="{793FC1B9-7C4B-44C2-98D6-E73DD32D187F}"/>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21" name="AutoShape 40" descr="Resultado de imagen para boton agregar icono">
          <a:extLst>
            <a:ext uri="{FF2B5EF4-FFF2-40B4-BE49-F238E27FC236}">
              <a16:creationId xmlns:a16="http://schemas.microsoft.com/office/drawing/2014/main" id="{40BABE9E-534B-4F1A-B7B7-DC5C6A4B44C8}"/>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22" name="AutoShape 42" descr="Z">
          <a:extLst>
            <a:ext uri="{FF2B5EF4-FFF2-40B4-BE49-F238E27FC236}">
              <a16:creationId xmlns:a16="http://schemas.microsoft.com/office/drawing/2014/main" id="{57C86F38-8AAF-4F9D-9B85-62CFFCE277A1}"/>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9</xdr:row>
      <xdr:rowOff>127000</xdr:rowOff>
    </xdr:from>
    <xdr:to>
      <xdr:col>16</xdr:col>
      <xdr:colOff>25400</xdr:colOff>
      <xdr:row>9</xdr:row>
      <xdr:rowOff>416069</xdr:rowOff>
    </xdr:to>
    <xdr:sp macro="" textlink="">
      <xdr:nvSpPr>
        <xdr:cNvPr id="23" name="Rectangle 53">
          <a:extLst>
            <a:ext uri="{FF2B5EF4-FFF2-40B4-BE49-F238E27FC236}">
              <a16:creationId xmlns:a16="http://schemas.microsoft.com/office/drawing/2014/main" id="{C206AC60-CB1D-4764-8F86-B0F9B1352B87}"/>
            </a:ext>
          </a:extLst>
        </xdr:cNvPr>
        <xdr:cNvSpPr>
          <a:spLocks noChangeArrowheads="1"/>
        </xdr:cNvSpPr>
      </xdr:nvSpPr>
      <xdr:spPr bwMode="auto">
        <a:xfrm>
          <a:off x="21885275" y="3346450"/>
          <a:ext cx="0" cy="28430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24" name="AutoShape 38" descr="Resultado de imagen para boton agregar icono">
          <a:extLst>
            <a:ext uri="{FF2B5EF4-FFF2-40B4-BE49-F238E27FC236}">
              <a16:creationId xmlns:a16="http://schemas.microsoft.com/office/drawing/2014/main" id="{1BC01A3C-F7FF-4807-B8B5-A70B0855D731}"/>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25" name="AutoShape 39" descr="Resultado de imagen para boton agregar icono">
          <a:extLst>
            <a:ext uri="{FF2B5EF4-FFF2-40B4-BE49-F238E27FC236}">
              <a16:creationId xmlns:a16="http://schemas.microsoft.com/office/drawing/2014/main" id="{93ADBF5A-E2FC-4159-9AD4-6FC5FAAA415F}"/>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26" name="AutoShape 40" descr="Resultado de imagen para boton agregar icono">
          <a:extLst>
            <a:ext uri="{FF2B5EF4-FFF2-40B4-BE49-F238E27FC236}">
              <a16:creationId xmlns:a16="http://schemas.microsoft.com/office/drawing/2014/main" id="{3AB3BA75-DCF2-43FD-80D9-4C90B5C0A29A}"/>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27" name="AutoShape 42" descr="Z">
          <a:extLst>
            <a:ext uri="{FF2B5EF4-FFF2-40B4-BE49-F238E27FC236}">
              <a16:creationId xmlns:a16="http://schemas.microsoft.com/office/drawing/2014/main" id="{3CCE2369-B220-4295-A78F-C3496F100F55}"/>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8</xdr:row>
      <xdr:rowOff>411308</xdr:rowOff>
    </xdr:to>
    <xdr:sp macro="" textlink="">
      <xdr:nvSpPr>
        <xdr:cNvPr id="28" name="Rectangle 53">
          <a:extLst>
            <a:ext uri="{FF2B5EF4-FFF2-40B4-BE49-F238E27FC236}">
              <a16:creationId xmlns:a16="http://schemas.microsoft.com/office/drawing/2014/main" id="{6633C9B5-5AD6-4135-9CB7-4F3DAA97BB55}"/>
            </a:ext>
          </a:extLst>
        </xdr:cNvPr>
        <xdr:cNvSpPr>
          <a:spLocks noChangeArrowheads="1"/>
        </xdr:cNvSpPr>
      </xdr:nvSpPr>
      <xdr:spPr bwMode="auto">
        <a:xfrm>
          <a:off x="21885275" y="2289175"/>
          <a:ext cx="0" cy="27954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29" name="AutoShape 38" descr="Resultado de imagen para boton agregar icono">
          <a:extLst>
            <a:ext uri="{FF2B5EF4-FFF2-40B4-BE49-F238E27FC236}">
              <a16:creationId xmlns:a16="http://schemas.microsoft.com/office/drawing/2014/main" id="{4D343C24-F912-4ACC-839F-F5777EB38DE4}"/>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30" name="AutoShape 39" descr="Resultado de imagen para boton agregar icono">
          <a:extLst>
            <a:ext uri="{FF2B5EF4-FFF2-40B4-BE49-F238E27FC236}">
              <a16:creationId xmlns:a16="http://schemas.microsoft.com/office/drawing/2014/main" id="{FAE88448-DBCD-415C-B591-4FD138DC37EA}"/>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31" name="AutoShape 40" descr="Resultado de imagen para boton agregar icono">
          <a:extLst>
            <a:ext uri="{FF2B5EF4-FFF2-40B4-BE49-F238E27FC236}">
              <a16:creationId xmlns:a16="http://schemas.microsoft.com/office/drawing/2014/main" id="{5CE59F90-1D13-4B00-8685-8E737A6D6D80}"/>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32" name="AutoShape 42" descr="Z">
          <a:extLst>
            <a:ext uri="{FF2B5EF4-FFF2-40B4-BE49-F238E27FC236}">
              <a16:creationId xmlns:a16="http://schemas.microsoft.com/office/drawing/2014/main" id="{5EA0FBD4-2DD2-48C7-81B1-431FC4D06ED7}"/>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8</xdr:row>
      <xdr:rowOff>411308</xdr:rowOff>
    </xdr:to>
    <xdr:sp macro="" textlink="">
      <xdr:nvSpPr>
        <xdr:cNvPr id="33" name="Rectangle 53">
          <a:extLst>
            <a:ext uri="{FF2B5EF4-FFF2-40B4-BE49-F238E27FC236}">
              <a16:creationId xmlns:a16="http://schemas.microsoft.com/office/drawing/2014/main" id="{BC58FC22-5039-4E96-B843-41CF54DDEB14}"/>
            </a:ext>
          </a:extLst>
        </xdr:cNvPr>
        <xdr:cNvSpPr>
          <a:spLocks noChangeArrowheads="1"/>
        </xdr:cNvSpPr>
      </xdr:nvSpPr>
      <xdr:spPr bwMode="auto">
        <a:xfrm>
          <a:off x="21885275" y="2289175"/>
          <a:ext cx="0" cy="27954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34" name="AutoShape 38" descr="Resultado de imagen para boton agregar icono">
          <a:extLst>
            <a:ext uri="{FF2B5EF4-FFF2-40B4-BE49-F238E27FC236}">
              <a16:creationId xmlns:a16="http://schemas.microsoft.com/office/drawing/2014/main" id="{F88ACBD7-8676-4749-98C0-5BB8F02452E7}"/>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35" name="AutoShape 39" descr="Resultado de imagen para boton agregar icono">
          <a:extLst>
            <a:ext uri="{FF2B5EF4-FFF2-40B4-BE49-F238E27FC236}">
              <a16:creationId xmlns:a16="http://schemas.microsoft.com/office/drawing/2014/main" id="{DE264899-C7C5-45D6-9537-A7DC017C83C6}"/>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36" name="AutoShape 40" descr="Resultado de imagen para boton agregar icono">
          <a:extLst>
            <a:ext uri="{FF2B5EF4-FFF2-40B4-BE49-F238E27FC236}">
              <a16:creationId xmlns:a16="http://schemas.microsoft.com/office/drawing/2014/main" id="{4A2A37A6-66D2-43E9-A7E2-A3E6B085A975}"/>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11</xdr:row>
      <xdr:rowOff>0</xdr:rowOff>
    </xdr:from>
    <xdr:to>
      <xdr:col>16</xdr:col>
      <xdr:colOff>320675</xdr:colOff>
      <xdr:row>11</xdr:row>
      <xdr:rowOff>308768</xdr:rowOff>
    </xdr:to>
    <xdr:sp macro="" textlink="">
      <xdr:nvSpPr>
        <xdr:cNvPr id="37" name="AutoShape 42" descr="Z">
          <a:extLst>
            <a:ext uri="{FF2B5EF4-FFF2-40B4-BE49-F238E27FC236}">
              <a16:creationId xmlns:a16="http://schemas.microsoft.com/office/drawing/2014/main" id="{369814A6-0B26-4C27-BA44-7FEDDAE85875}"/>
            </a:ext>
          </a:extLst>
        </xdr:cNvPr>
        <xdr:cNvSpPr>
          <a:spLocks noChangeAspect="1" noChangeArrowheads="1"/>
        </xdr:cNvSpPr>
      </xdr:nvSpPr>
      <xdr:spPr bwMode="auto">
        <a:xfrm>
          <a:off x="21885275" y="604837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9</xdr:row>
      <xdr:rowOff>127000</xdr:rowOff>
    </xdr:from>
    <xdr:to>
      <xdr:col>16</xdr:col>
      <xdr:colOff>25400</xdr:colOff>
      <xdr:row>9</xdr:row>
      <xdr:rowOff>416069</xdr:rowOff>
    </xdr:to>
    <xdr:sp macro="" textlink="">
      <xdr:nvSpPr>
        <xdr:cNvPr id="38" name="Rectangle 53">
          <a:extLst>
            <a:ext uri="{FF2B5EF4-FFF2-40B4-BE49-F238E27FC236}">
              <a16:creationId xmlns:a16="http://schemas.microsoft.com/office/drawing/2014/main" id="{3305356F-591F-47C6-B411-07698B2EDE4E}"/>
            </a:ext>
          </a:extLst>
        </xdr:cNvPr>
        <xdr:cNvSpPr>
          <a:spLocks noChangeArrowheads="1"/>
        </xdr:cNvSpPr>
      </xdr:nvSpPr>
      <xdr:spPr bwMode="auto">
        <a:xfrm>
          <a:off x="21885275" y="3346450"/>
          <a:ext cx="0" cy="28430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oneCellAnchor>
    <xdr:from>
      <xdr:col>16</xdr:col>
      <xdr:colOff>25400</xdr:colOff>
      <xdr:row>12</xdr:row>
      <xdr:rowOff>0</xdr:rowOff>
    </xdr:from>
    <xdr:ext cx="295275" cy="304006"/>
    <xdr:sp macro="" textlink="">
      <xdr:nvSpPr>
        <xdr:cNvPr id="39" name="AutoShape 38" descr="Resultado de imagen para boton agregar icono">
          <a:extLst>
            <a:ext uri="{FF2B5EF4-FFF2-40B4-BE49-F238E27FC236}">
              <a16:creationId xmlns:a16="http://schemas.microsoft.com/office/drawing/2014/main" id="{B4B5DEA1-34D4-4546-BD7D-2E6E80C57427}"/>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40" name="AutoShape 39" descr="Resultado de imagen para boton agregar icono">
          <a:extLst>
            <a:ext uri="{FF2B5EF4-FFF2-40B4-BE49-F238E27FC236}">
              <a16:creationId xmlns:a16="http://schemas.microsoft.com/office/drawing/2014/main" id="{0BDCB70B-7A33-422E-8EC9-DF3EBC37B591}"/>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41" name="AutoShape 40" descr="Resultado de imagen para boton agregar icono">
          <a:extLst>
            <a:ext uri="{FF2B5EF4-FFF2-40B4-BE49-F238E27FC236}">
              <a16:creationId xmlns:a16="http://schemas.microsoft.com/office/drawing/2014/main" id="{09D4DC70-3458-4B23-B3FD-5406CD759BC3}"/>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42" name="AutoShape 42" descr="Z">
          <a:extLst>
            <a:ext uri="{FF2B5EF4-FFF2-40B4-BE49-F238E27FC236}">
              <a16:creationId xmlns:a16="http://schemas.microsoft.com/office/drawing/2014/main" id="{594A4846-5F3C-4E06-967C-FCF4A76AD405}"/>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43" name="AutoShape 38" descr="Resultado de imagen para boton agregar icono">
          <a:extLst>
            <a:ext uri="{FF2B5EF4-FFF2-40B4-BE49-F238E27FC236}">
              <a16:creationId xmlns:a16="http://schemas.microsoft.com/office/drawing/2014/main" id="{6CC277BC-019F-4BCF-879C-49D9A9BD7F64}"/>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44" name="AutoShape 39" descr="Resultado de imagen para boton agregar icono">
          <a:extLst>
            <a:ext uri="{FF2B5EF4-FFF2-40B4-BE49-F238E27FC236}">
              <a16:creationId xmlns:a16="http://schemas.microsoft.com/office/drawing/2014/main" id="{7587BB1B-5C3D-4663-AE49-6AAD6E4805F6}"/>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45" name="AutoShape 40" descr="Resultado de imagen para boton agregar icono">
          <a:extLst>
            <a:ext uri="{FF2B5EF4-FFF2-40B4-BE49-F238E27FC236}">
              <a16:creationId xmlns:a16="http://schemas.microsoft.com/office/drawing/2014/main" id="{413398F4-135A-4708-9570-E7C065B8F132}"/>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46" name="AutoShape 42" descr="Z">
          <a:extLst>
            <a:ext uri="{FF2B5EF4-FFF2-40B4-BE49-F238E27FC236}">
              <a16:creationId xmlns:a16="http://schemas.microsoft.com/office/drawing/2014/main" id="{F3D4A726-B5ED-4562-B210-3CE609D9C073}"/>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47" name="AutoShape 38" descr="Resultado de imagen para boton agregar icono">
          <a:extLst>
            <a:ext uri="{FF2B5EF4-FFF2-40B4-BE49-F238E27FC236}">
              <a16:creationId xmlns:a16="http://schemas.microsoft.com/office/drawing/2014/main" id="{072EB836-78C5-495F-BDD9-AD9E8EDD98D1}"/>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48" name="AutoShape 39" descr="Resultado de imagen para boton agregar icono">
          <a:extLst>
            <a:ext uri="{FF2B5EF4-FFF2-40B4-BE49-F238E27FC236}">
              <a16:creationId xmlns:a16="http://schemas.microsoft.com/office/drawing/2014/main" id="{BAD09816-B3C1-4131-BC4C-199834FE2140}"/>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49" name="AutoShape 40" descr="Resultado de imagen para boton agregar icono">
          <a:extLst>
            <a:ext uri="{FF2B5EF4-FFF2-40B4-BE49-F238E27FC236}">
              <a16:creationId xmlns:a16="http://schemas.microsoft.com/office/drawing/2014/main" id="{434D9C07-7A6F-41BE-96CA-44D8C9C30D96}"/>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50" name="AutoShape 42" descr="Z">
          <a:extLst>
            <a:ext uri="{FF2B5EF4-FFF2-40B4-BE49-F238E27FC236}">
              <a16:creationId xmlns:a16="http://schemas.microsoft.com/office/drawing/2014/main" id="{6CC54ACA-7917-4617-9E65-26FD8E333EB9}"/>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51" name="AutoShape 38" descr="Resultado de imagen para boton agregar icono">
          <a:extLst>
            <a:ext uri="{FF2B5EF4-FFF2-40B4-BE49-F238E27FC236}">
              <a16:creationId xmlns:a16="http://schemas.microsoft.com/office/drawing/2014/main" id="{FD436F9E-5B47-46B3-81DA-072DB3472324}"/>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52" name="AutoShape 39" descr="Resultado de imagen para boton agregar icono">
          <a:extLst>
            <a:ext uri="{FF2B5EF4-FFF2-40B4-BE49-F238E27FC236}">
              <a16:creationId xmlns:a16="http://schemas.microsoft.com/office/drawing/2014/main" id="{86A130AD-9F2C-429E-B113-458B52B0A907}"/>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53" name="AutoShape 40" descr="Resultado de imagen para boton agregar icono">
          <a:extLst>
            <a:ext uri="{FF2B5EF4-FFF2-40B4-BE49-F238E27FC236}">
              <a16:creationId xmlns:a16="http://schemas.microsoft.com/office/drawing/2014/main" id="{22927937-EF74-4F03-A003-D0B5734CDC94}"/>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54" name="AutoShape 42" descr="Z">
          <a:extLst>
            <a:ext uri="{FF2B5EF4-FFF2-40B4-BE49-F238E27FC236}">
              <a16:creationId xmlns:a16="http://schemas.microsoft.com/office/drawing/2014/main" id="{C22EB8B2-FE8A-47C4-ADD1-E7CC4C87FB53}"/>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55" name="AutoShape 38" descr="Resultado de imagen para boton agregar icono">
          <a:extLst>
            <a:ext uri="{FF2B5EF4-FFF2-40B4-BE49-F238E27FC236}">
              <a16:creationId xmlns:a16="http://schemas.microsoft.com/office/drawing/2014/main" id="{12BB9232-8854-4364-AC36-AC69140F4EDF}"/>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56" name="AutoShape 39" descr="Resultado de imagen para boton agregar icono">
          <a:extLst>
            <a:ext uri="{FF2B5EF4-FFF2-40B4-BE49-F238E27FC236}">
              <a16:creationId xmlns:a16="http://schemas.microsoft.com/office/drawing/2014/main" id="{43C3AB50-7D4C-49D4-BDA7-A07B3746C857}"/>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57" name="AutoShape 40" descr="Resultado de imagen para boton agregar icono">
          <a:extLst>
            <a:ext uri="{FF2B5EF4-FFF2-40B4-BE49-F238E27FC236}">
              <a16:creationId xmlns:a16="http://schemas.microsoft.com/office/drawing/2014/main" id="{2F21E981-F887-4147-9206-4430A4CF6E61}"/>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58" name="AutoShape 42" descr="Z">
          <a:extLst>
            <a:ext uri="{FF2B5EF4-FFF2-40B4-BE49-F238E27FC236}">
              <a16:creationId xmlns:a16="http://schemas.microsoft.com/office/drawing/2014/main" id="{221DBB70-4AFF-41A5-B985-46B89D1E63F7}"/>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59" name="AutoShape 38" descr="Resultado de imagen para boton agregar icono">
          <a:extLst>
            <a:ext uri="{FF2B5EF4-FFF2-40B4-BE49-F238E27FC236}">
              <a16:creationId xmlns:a16="http://schemas.microsoft.com/office/drawing/2014/main" id="{7D94BA5F-8C2B-4504-9725-EF586B077123}"/>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60" name="AutoShape 39" descr="Resultado de imagen para boton agregar icono">
          <a:extLst>
            <a:ext uri="{FF2B5EF4-FFF2-40B4-BE49-F238E27FC236}">
              <a16:creationId xmlns:a16="http://schemas.microsoft.com/office/drawing/2014/main" id="{BF5F50F0-0C7C-4484-9875-7C8E758F79A8}"/>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61" name="AutoShape 40" descr="Resultado de imagen para boton agregar icono">
          <a:extLst>
            <a:ext uri="{FF2B5EF4-FFF2-40B4-BE49-F238E27FC236}">
              <a16:creationId xmlns:a16="http://schemas.microsoft.com/office/drawing/2014/main" id="{315602D4-8203-494A-9728-5E1DD8F18D22}"/>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006"/>
    <xdr:sp macro="" textlink="">
      <xdr:nvSpPr>
        <xdr:cNvPr id="62" name="AutoShape 42" descr="Z">
          <a:extLst>
            <a:ext uri="{FF2B5EF4-FFF2-40B4-BE49-F238E27FC236}">
              <a16:creationId xmlns:a16="http://schemas.microsoft.com/office/drawing/2014/main" id="{3CF1E03E-185E-42C3-851C-ADE3198C34F2}"/>
            </a:ext>
          </a:extLst>
        </xdr:cNvPr>
        <xdr:cNvSpPr>
          <a:spLocks noChangeAspect="1" noChangeArrowheads="1"/>
        </xdr:cNvSpPr>
      </xdr:nvSpPr>
      <xdr:spPr bwMode="auto">
        <a:xfrm>
          <a:off x="21885275" y="6943725"/>
          <a:ext cx="295275" cy="304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efreshError="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95" dataDxfId="94">
  <autoFilter ref="B209:C219" xr:uid="{00000000-0009-0000-0100-000001000000}"/>
  <tableColumns count="2">
    <tableColumn id="1" xr3:uid="{00000000-0010-0000-0000-000001000000}" name="Criterios" dataDxfId="93"/>
    <tableColumn id="2" xr3:uid="{00000000-0010-0000-0000-000002000000}" name="Subcriterios" dataDxfId="92"/>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topLeftCell="A4" zoomScale="110" zoomScaleNormal="110" workbookViewId="0">
      <selection activeCell="B12" sqref="B12:H12"/>
    </sheetView>
  </sheetViews>
  <sheetFormatPr baseColWidth="10" defaultColWidth="11.42578125" defaultRowHeight="15" x14ac:dyDescent="0.25"/>
  <cols>
    <col min="1" max="1" width="2.85546875" style="79" customWidth="1"/>
    <col min="2" max="3" width="24.7109375" style="79" customWidth="1"/>
    <col min="4" max="4" width="16" style="79" customWidth="1"/>
    <col min="5" max="5" width="24.7109375" style="79" customWidth="1"/>
    <col min="6" max="6" width="27.7109375" style="79" customWidth="1"/>
    <col min="7" max="8" width="24.7109375" style="79" customWidth="1"/>
    <col min="9" max="16384" width="11.42578125" style="79"/>
  </cols>
  <sheetData>
    <row r="4" spans="2:8" ht="6.95" customHeight="1" thickBot="1" x14ac:dyDescent="0.3"/>
    <row r="5" spans="2:8" hidden="1" x14ac:dyDescent="0.25"/>
    <row r="6" spans="2:8" ht="15.75" hidden="1" thickBot="1" x14ac:dyDescent="0.3"/>
    <row r="7" spans="2:8" ht="15.75" hidden="1" thickBot="1" x14ac:dyDescent="0.3"/>
    <row r="8" spans="2:8" ht="0.95"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221" t="s">
        <v>0</v>
      </c>
      <c r="C12" s="222"/>
      <c r="D12" s="222"/>
      <c r="E12" s="222"/>
      <c r="F12" s="222"/>
      <c r="G12" s="222"/>
      <c r="H12" s="223"/>
    </row>
    <row r="13" spans="2:8" ht="11.1" customHeight="1" x14ac:dyDescent="0.25">
      <c r="B13" s="80"/>
      <c r="C13" s="81"/>
      <c r="D13" s="81"/>
      <c r="E13" s="81"/>
      <c r="F13" s="81"/>
      <c r="G13" s="81"/>
      <c r="H13" s="82"/>
    </row>
    <row r="14" spans="2:8" ht="29.1" hidden="1" customHeight="1" x14ac:dyDescent="0.25">
      <c r="B14" s="224" t="s">
        <v>210</v>
      </c>
      <c r="C14" s="225"/>
      <c r="D14" s="225"/>
      <c r="E14" s="225"/>
      <c r="F14" s="225"/>
      <c r="G14" s="225"/>
      <c r="H14" s="226"/>
    </row>
    <row r="15" spans="2:8" ht="63" hidden="1" customHeight="1" x14ac:dyDescent="0.25">
      <c r="B15" s="227"/>
      <c r="C15" s="228"/>
      <c r="D15" s="228"/>
      <c r="E15" s="228"/>
      <c r="F15" s="228"/>
      <c r="G15" s="228"/>
      <c r="H15" s="229"/>
    </row>
    <row r="16" spans="2:8" ht="16.5" x14ac:dyDescent="0.25">
      <c r="B16" s="230" t="s">
        <v>1</v>
      </c>
      <c r="C16" s="231"/>
      <c r="D16" s="231"/>
      <c r="E16" s="231"/>
      <c r="F16" s="231"/>
      <c r="G16" s="231"/>
      <c r="H16" s="232"/>
    </row>
    <row r="17" spans="2:8" ht="95.25" customHeight="1" x14ac:dyDescent="0.25">
      <c r="B17" s="240" t="s">
        <v>2</v>
      </c>
      <c r="C17" s="241"/>
      <c r="D17" s="241"/>
      <c r="E17" s="241"/>
      <c r="F17" s="241"/>
      <c r="G17" s="241"/>
      <c r="H17" s="242"/>
    </row>
    <row r="18" spans="2:8" ht="16.5" x14ac:dyDescent="0.25">
      <c r="B18" s="116"/>
      <c r="C18" s="117"/>
      <c r="D18" s="117"/>
      <c r="E18" s="117"/>
      <c r="F18" s="117"/>
      <c r="G18" s="117"/>
      <c r="H18" s="118"/>
    </row>
    <row r="19" spans="2:8" ht="16.5" customHeight="1" x14ac:dyDescent="0.25">
      <c r="B19" s="233" t="s">
        <v>218</v>
      </c>
      <c r="C19" s="234"/>
      <c r="D19" s="234"/>
      <c r="E19" s="234"/>
      <c r="F19" s="234"/>
      <c r="G19" s="234"/>
      <c r="H19" s="235"/>
    </row>
    <row r="20" spans="2:8" ht="44.25" customHeight="1" x14ac:dyDescent="0.25">
      <c r="B20" s="233"/>
      <c r="C20" s="234"/>
      <c r="D20" s="234"/>
      <c r="E20" s="234"/>
      <c r="F20" s="234"/>
      <c r="G20" s="234"/>
      <c r="H20" s="235"/>
    </row>
    <row r="21" spans="2:8" ht="15.75" thickBot="1" x14ac:dyDescent="0.3">
      <c r="B21" s="105"/>
      <c r="C21" s="108"/>
      <c r="D21" s="113"/>
      <c r="E21" s="114"/>
      <c r="F21" s="114"/>
      <c r="G21" s="115"/>
      <c r="H21" s="109"/>
    </row>
    <row r="22" spans="2:8" ht="15.75" thickTop="1" x14ac:dyDescent="0.25">
      <c r="B22" s="105"/>
      <c r="C22" s="236" t="s">
        <v>3</v>
      </c>
      <c r="D22" s="237"/>
      <c r="E22" s="238" t="s">
        <v>4</v>
      </c>
      <c r="F22" s="239"/>
      <c r="G22" s="108"/>
      <c r="H22" s="109"/>
    </row>
    <row r="23" spans="2:8" ht="35.25" customHeight="1" x14ac:dyDescent="0.25">
      <c r="B23" s="105"/>
      <c r="C23" s="208" t="s">
        <v>5</v>
      </c>
      <c r="D23" s="209"/>
      <c r="E23" s="210" t="s">
        <v>6</v>
      </c>
      <c r="F23" s="211"/>
      <c r="G23" s="108"/>
      <c r="H23" s="109"/>
    </row>
    <row r="24" spans="2:8" ht="17.25" customHeight="1" x14ac:dyDescent="0.25">
      <c r="B24" s="105"/>
      <c r="C24" s="208" t="s">
        <v>7</v>
      </c>
      <c r="D24" s="209"/>
      <c r="E24" s="210" t="s">
        <v>8</v>
      </c>
      <c r="F24" s="211"/>
      <c r="G24" s="108"/>
      <c r="H24" s="109"/>
    </row>
    <row r="25" spans="2:8" ht="19.5" customHeight="1" x14ac:dyDescent="0.25">
      <c r="B25" s="105"/>
      <c r="C25" s="208" t="s">
        <v>9</v>
      </c>
      <c r="D25" s="209"/>
      <c r="E25" s="210" t="s">
        <v>10</v>
      </c>
      <c r="F25" s="211"/>
      <c r="G25" s="108"/>
      <c r="H25" s="109"/>
    </row>
    <row r="26" spans="2:8" ht="69.75" customHeight="1" x14ac:dyDescent="0.25">
      <c r="B26" s="105"/>
      <c r="C26" s="208" t="s">
        <v>11</v>
      </c>
      <c r="D26" s="209"/>
      <c r="E26" s="210" t="s">
        <v>12</v>
      </c>
      <c r="F26" s="211"/>
      <c r="G26" s="108"/>
      <c r="H26" s="109"/>
    </row>
    <row r="27" spans="2:8" ht="34.5" customHeight="1" x14ac:dyDescent="0.25">
      <c r="B27" s="105"/>
      <c r="C27" s="212" t="s">
        <v>13</v>
      </c>
      <c r="D27" s="213"/>
      <c r="E27" s="204" t="s">
        <v>14</v>
      </c>
      <c r="F27" s="205"/>
      <c r="G27" s="108"/>
      <c r="H27" s="109"/>
    </row>
    <row r="28" spans="2:8" ht="27.75" customHeight="1" x14ac:dyDescent="0.25">
      <c r="B28" s="105"/>
      <c r="C28" s="212" t="s">
        <v>15</v>
      </c>
      <c r="D28" s="213"/>
      <c r="E28" s="204" t="s">
        <v>16</v>
      </c>
      <c r="F28" s="205"/>
      <c r="G28" s="108"/>
      <c r="H28" s="109"/>
    </row>
    <row r="29" spans="2:8" ht="28.5" customHeight="1" x14ac:dyDescent="0.25">
      <c r="B29" s="105"/>
      <c r="C29" s="212" t="s">
        <v>17</v>
      </c>
      <c r="D29" s="213"/>
      <c r="E29" s="204" t="s">
        <v>18</v>
      </c>
      <c r="F29" s="205"/>
      <c r="G29" s="108"/>
      <c r="H29" s="109"/>
    </row>
    <row r="30" spans="2:8" ht="72.75" customHeight="1" x14ac:dyDescent="0.25">
      <c r="B30" s="105"/>
      <c r="C30" s="212" t="s">
        <v>19</v>
      </c>
      <c r="D30" s="213"/>
      <c r="E30" s="204" t="s">
        <v>20</v>
      </c>
      <c r="F30" s="205"/>
      <c r="G30" s="108"/>
      <c r="H30" s="109"/>
    </row>
    <row r="31" spans="2:8" ht="64.5" customHeight="1" x14ac:dyDescent="0.25">
      <c r="B31" s="105"/>
      <c r="C31" s="212" t="s">
        <v>21</v>
      </c>
      <c r="D31" s="213"/>
      <c r="E31" s="204" t="s">
        <v>22</v>
      </c>
      <c r="F31" s="205"/>
      <c r="G31" s="108"/>
      <c r="H31" s="109"/>
    </row>
    <row r="32" spans="2:8" ht="71.25" customHeight="1" x14ac:dyDescent="0.25">
      <c r="B32" s="105"/>
      <c r="C32" s="212" t="s">
        <v>23</v>
      </c>
      <c r="D32" s="213"/>
      <c r="E32" s="204" t="s">
        <v>24</v>
      </c>
      <c r="F32" s="205"/>
      <c r="G32" s="108"/>
      <c r="H32" s="109"/>
    </row>
    <row r="33" spans="2:8" ht="55.5" customHeight="1" x14ac:dyDescent="0.25">
      <c r="B33" s="105"/>
      <c r="C33" s="206" t="s">
        <v>25</v>
      </c>
      <c r="D33" s="207"/>
      <c r="E33" s="204" t="s">
        <v>26</v>
      </c>
      <c r="F33" s="205"/>
      <c r="G33" s="108"/>
      <c r="H33" s="109"/>
    </row>
    <row r="34" spans="2:8" ht="42" customHeight="1" x14ac:dyDescent="0.25">
      <c r="B34" s="105"/>
      <c r="C34" s="206" t="s">
        <v>27</v>
      </c>
      <c r="D34" s="207"/>
      <c r="E34" s="204" t="s">
        <v>28</v>
      </c>
      <c r="F34" s="205"/>
      <c r="G34" s="108"/>
      <c r="H34" s="109"/>
    </row>
    <row r="35" spans="2:8" ht="59.25" customHeight="1" x14ac:dyDescent="0.25">
      <c r="B35" s="105"/>
      <c r="C35" s="206" t="s">
        <v>29</v>
      </c>
      <c r="D35" s="207"/>
      <c r="E35" s="204" t="s">
        <v>30</v>
      </c>
      <c r="F35" s="205"/>
      <c r="G35" s="108"/>
      <c r="H35" s="109"/>
    </row>
    <row r="36" spans="2:8" ht="23.25" customHeight="1" x14ac:dyDescent="0.25">
      <c r="B36" s="105"/>
      <c r="C36" s="206" t="s">
        <v>31</v>
      </c>
      <c r="D36" s="207"/>
      <c r="E36" s="204" t="s">
        <v>32</v>
      </c>
      <c r="F36" s="205"/>
      <c r="G36" s="108"/>
      <c r="H36" s="109"/>
    </row>
    <row r="37" spans="2:8" ht="30.75" customHeight="1" x14ac:dyDescent="0.25">
      <c r="B37" s="105"/>
      <c r="C37" s="206" t="s">
        <v>33</v>
      </c>
      <c r="D37" s="207"/>
      <c r="E37" s="204" t="s">
        <v>34</v>
      </c>
      <c r="F37" s="205"/>
      <c r="G37" s="108"/>
      <c r="H37" s="109"/>
    </row>
    <row r="38" spans="2:8" ht="35.25" customHeight="1" x14ac:dyDescent="0.25">
      <c r="B38" s="105"/>
      <c r="C38" s="206" t="s">
        <v>35</v>
      </c>
      <c r="D38" s="207"/>
      <c r="E38" s="204" t="s">
        <v>36</v>
      </c>
      <c r="F38" s="205"/>
      <c r="G38" s="108"/>
      <c r="H38" s="109"/>
    </row>
    <row r="39" spans="2:8" ht="33" customHeight="1" x14ac:dyDescent="0.25">
      <c r="B39" s="105"/>
      <c r="C39" s="206" t="s">
        <v>35</v>
      </c>
      <c r="D39" s="207"/>
      <c r="E39" s="204" t="s">
        <v>36</v>
      </c>
      <c r="F39" s="205"/>
      <c r="G39" s="108"/>
      <c r="H39" s="109"/>
    </row>
    <row r="40" spans="2:8" ht="30" customHeight="1" x14ac:dyDescent="0.25">
      <c r="B40" s="105"/>
      <c r="C40" s="206" t="s">
        <v>37</v>
      </c>
      <c r="D40" s="207"/>
      <c r="E40" s="204" t="s">
        <v>38</v>
      </c>
      <c r="F40" s="205"/>
      <c r="G40" s="108"/>
      <c r="H40" s="109"/>
    </row>
    <row r="41" spans="2:8" ht="35.25" customHeight="1" x14ac:dyDescent="0.25">
      <c r="B41" s="105"/>
      <c r="C41" s="206" t="s">
        <v>39</v>
      </c>
      <c r="D41" s="207"/>
      <c r="E41" s="204" t="s">
        <v>40</v>
      </c>
      <c r="F41" s="205"/>
      <c r="G41" s="108"/>
      <c r="H41" s="109"/>
    </row>
    <row r="42" spans="2:8" ht="31.5" customHeight="1" x14ac:dyDescent="0.25">
      <c r="B42" s="105"/>
      <c r="C42" s="206" t="s">
        <v>41</v>
      </c>
      <c r="D42" s="207"/>
      <c r="E42" s="204" t="s">
        <v>42</v>
      </c>
      <c r="F42" s="205"/>
      <c r="G42" s="108"/>
      <c r="H42" s="109"/>
    </row>
    <row r="43" spans="2:8" ht="35.25" customHeight="1" x14ac:dyDescent="0.25">
      <c r="B43" s="105"/>
      <c r="C43" s="206" t="s">
        <v>43</v>
      </c>
      <c r="D43" s="207"/>
      <c r="E43" s="204" t="s">
        <v>44</v>
      </c>
      <c r="F43" s="205"/>
      <c r="G43" s="108"/>
      <c r="H43" s="109"/>
    </row>
    <row r="44" spans="2:8" ht="59.25" customHeight="1" x14ac:dyDescent="0.25">
      <c r="B44" s="105"/>
      <c r="C44" s="206" t="s">
        <v>45</v>
      </c>
      <c r="D44" s="207"/>
      <c r="E44" s="204" t="s">
        <v>46</v>
      </c>
      <c r="F44" s="205"/>
      <c r="G44" s="108"/>
      <c r="H44" s="109"/>
    </row>
    <row r="45" spans="2:8" ht="29.25" customHeight="1" x14ac:dyDescent="0.25">
      <c r="B45" s="105"/>
      <c r="C45" s="206" t="s">
        <v>47</v>
      </c>
      <c r="D45" s="207"/>
      <c r="E45" s="204" t="s">
        <v>48</v>
      </c>
      <c r="F45" s="205"/>
      <c r="G45" s="108"/>
      <c r="H45" s="109"/>
    </row>
    <row r="46" spans="2:8" ht="82.5" customHeight="1" x14ac:dyDescent="0.25">
      <c r="B46" s="105"/>
      <c r="C46" s="206" t="s">
        <v>49</v>
      </c>
      <c r="D46" s="207"/>
      <c r="E46" s="204" t="s">
        <v>50</v>
      </c>
      <c r="F46" s="205"/>
      <c r="G46" s="108"/>
      <c r="H46" s="109"/>
    </row>
    <row r="47" spans="2:8" ht="46.5" customHeight="1" x14ac:dyDescent="0.25">
      <c r="B47" s="105"/>
      <c r="C47" s="206" t="s">
        <v>51</v>
      </c>
      <c r="D47" s="207"/>
      <c r="E47" s="204" t="s">
        <v>52</v>
      </c>
      <c r="F47" s="205"/>
      <c r="G47" s="108"/>
      <c r="H47" s="109"/>
    </row>
    <row r="48" spans="2:8" ht="6.75" customHeight="1" thickBot="1" x14ac:dyDescent="0.3">
      <c r="B48" s="105"/>
      <c r="C48" s="217"/>
      <c r="D48" s="218"/>
      <c r="E48" s="219"/>
      <c r="F48" s="220"/>
      <c r="G48" s="108"/>
      <c r="H48" s="109"/>
    </row>
    <row r="49" spans="2:8" ht="15.75" thickTop="1" x14ac:dyDescent="0.25">
      <c r="B49" s="105"/>
      <c r="C49" s="106"/>
      <c r="D49" s="106"/>
      <c r="E49" s="107"/>
      <c r="F49" s="107"/>
      <c r="G49" s="108"/>
      <c r="H49" s="109"/>
    </row>
    <row r="50" spans="2:8" ht="21" customHeight="1" x14ac:dyDescent="0.25">
      <c r="B50" s="214" t="s">
        <v>53</v>
      </c>
      <c r="C50" s="215"/>
      <c r="D50" s="215"/>
      <c r="E50" s="215"/>
      <c r="F50" s="215"/>
      <c r="G50" s="215"/>
      <c r="H50" s="216"/>
    </row>
    <row r="51" spans="2:8" ht="20.25" customHeight="1" x14ac:dyDescent="0.25">
      <c r="B51" s="214" t="s">
        <v>54</v>
      </c>
      <c r="C51" s="215"/>
      <c r="D51" s="215"/>
      <c r="E51" s="215"/>
      <c r="F51" s="215"/>
      <c r="G51" s="215"/>
      <c r="H51" s="216"/>
    </row>
    <row r="52" spans="2:8" ht="20.25" customHeight="1" x14ac:dyDescent="0.25">
      <c r="B52" s="214" t="s">
        <v>55</v>
      </c>
      <c r="C52" s="215"/>
      <c r="D52" s="215"/>
      <c r="E52" s="215"/>
      <c r="F52" s="215"/>
      <c r="G52" s="215"/>
      <c r="H52" s="216"/>
    </row>
    <row r="53" spans="2:8" ht="20.25" customHeight="1" x14ac:dyDescent="0.25">
      <c r="B53" s="214" t="s">
        <v>56</v>
      </c>
      <c r="C53" s="215"/>
      <c r="D53" s="215"/>
      <c r="E53" s="215"/>
      <c r="F53" s="215"/>
      <c r="G53" s="215"/>
      <c r="H53" s="216"/>
    </row>
    <row r="54" spans="2:8" x14ac:dyDescent="0.25">
      <c r="B54" s="214" t="s">
        <v>57</v>
      </c>
      <c r="C54" s="215"/>
      <c r="D54" s="215"/>
      <c r="E54" s="215"/>
      <c r="F54" s="215"/>
      <c r="G54" s="215"/>
      <c r="H54" s="216"/>
    </row>
    <row r="55" spans="2:8" ht="15.75" thickBot="1" x14ac:dyDescent="0.3">
      <c r="B55" s="110"/>
      <c r="C55" s="111"/>
      <c r="D55" s="111"/>
      <c r="E55" s="111"/>
      <c r="F55" s="111"/>
      <c r="G55" s="111"/>
      <c r="H55" s="112"/>
    </row>
  </sheetData>
  <mergeCells count="64">
    <mergeCell ref="B12:H12"/>
    <mergeCell ref="B14:H15"/>
    <mergeCell ref="B16:H16"/>
    <mergeCell ref="B19:H20"/>
    <mergeCell ref="C22:D22"/>
    <mergeCell ref="E22:F22"/>
    <mergeCell ref="B17:H17"/>
    <mergeCell ref="C23:D23"/>
    <mergeCell ref="E23:F23"/>
    <mergeCell ref="C27:D27"/>
    <mergeCell ref="E27:F27"/>
    <mergeCell ref="C31:D31"/>
    <mergeCell ref="C28:D28"/>
    <mergeCell ref="C29:D29"/>
    <mergeCell ref="C30:D30"/>
    <mergeCell ref="E28:F28"/>
    <mergeCell ref="E29:F29"/>
    <mergeCell ref="E30:F30"/>
    <mergeCell ref="E31:F31"/>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43:D43"/>
    <mergeCell ref="B50:H50"/>
    <mergeCell ref="C39:D39"/>
    <mergeCell ref="E39:F39"/>
    <mergeCell ref="C40:D40"/>
    <mergeCell ref="E40:F40"/>
    <mergeCell ref="E43:F43"/>
    <mergeCell ref="C44:D44"/>
    <mergeCell ref="C45:D45"/>
    <mergeCell ref="E45:F45"/>
    <mergeCell ref="C46:D46"/>
    <mergeCell ref="E46:F46"/>
    <mergeCell ref="B51:H51"/>
    <mergeCell ref="C48:D48"/>
    <mergeCell ref="E48:F48"/>
    <mergeCell ref="C47:D47"/>
    <mergeCell ref="E47:F47"/>
    <mergeCell ref="E38:F38"/>
    <mergeCell ref="C38:D38"/>
    <mergeCell ref="C26:D26"/>
    <mergeCell ref="E26:F26"/>
    <mergeCell ref="C24:D24"/>
    <mergeCell ref="E24:F24"/>
    <mergeCell ref="C25:D25"/>
    <mergeCell ref="E25:F25"/>
    <mergeCell ref="E32:F32"/>
    <mergeCell ref="C32:D32"/>
    <mergeCell ref="C35:D35"/>
    <mergeCell ref="E35:F3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E22" sqref="E22"/>
    </sheetView>
  </sheetViews>
  <sheetFormatPr baseColWidth="10" defaultColWidth="14.28515625" defaultRowHeight="12.75" x14ac:dyDescent="0.2"/>
  <cols>
    <col min="1" max="2" width="14.28515625" style="84"/>
    <col min="3" max="3" width="17" style="84" customWidth="1"/>
    <col min="4" max="4" width="14.28515625" style="84"/>
    <col min="5" max="5" width="46" style="84" customWidth="1"/>
    <col min="6" max="16384" width="14.28515625" style="84"/>
  </cols>
  <sheetData>
    <row r="1" spans="2:6" ht="24" customHeight="1" thickBot="1" x14ac:dyDescent="0.25">
      <c r="B1" s="491" t="s">
        <v>159</v>
      </c>
      <c r="C1" s="492"/>
      <c r="D1" s="492"/>
      <c r="E1" s="492"/>
      <c r="F1" s="493"/>
    </row>
    <row r="2" spans="2:6" ht="16.5" thickBot="1" x14ac:dyDescent="0.3">
      <c r="B2" s="85"/>
      <c r="C2" s="85"/>
      <c r="D2" s="85"/>
      <c r="E2" s="85"/>
      <c r="F2" s="85"/>
    </row>
    <row r="3" spans="2:6" ht="16.5" thickBot="1" x14ac:dyDescent="0.25">
      <c r="B3" s="495" t="s">
        <v>160</v>
      </c>
      <c r="C3" s="496"/>
      <c r="D3" s="496"/>
      <c r="E3" s="97" t="s">
        <v>161</v>
      </c>
      <c r="F3" s="98" t="s">
        <v>162</v>
      </c>
    </row>
    <row r="4" spans="2:6" ht="31.5" x14ac:dyDescent="0.2">
      <c r="B4" s="497" t="s">
        <v>163</v>
      </c>
      <c r="C4" s="499" t="s">
        <v>83</v>
      </c>
      <c r="D4" s="86" t="s">
        <v>164</v>
      </c>
      <c r="E4" s="87" t="s">
        <v>165</v>
      </c>
      <c r="F4" s="88">
        <v>0.25</v>
      </c>
    </row>
    <row r="5" spans="2:6" ht="47.25" x14ac:dyDescent="0.2">
      <c r="B5" s="498"/>
      <c r="C5" s="500"/>
      <c r="D5" s="89" t="s">
        <v>166</v>
      </c>
      <c r="E5" s="90" t="s">
        <v>167</v>
      </c>
      <c r="F5" s="91">
        <v>0.15</v>
      </c>
    </row>
    <row r="6" spans="2:6" ht="47.25" x14ac:dyDescent="0.2">
      <c r="B6" s="498"/>
      <c r="C6" s="500"/>
      <c r="D6" s="89" t="s">
        <v>168</v>
      </c>
      <c r="E6" s="90" t="s">
        <v>169</v>
      </c>
      <c r="F6" s="91">
        <v>0.1</v>
      </c>
    </row>
    <row r="7" spans="2:6" ht="63" x14ac:dyDescent="0.2">
      <c r="B7" s="498"/>
      <c r="C7" s="500" t="s">
        <v>84</v>
      </c>
      <c r="D7" s="89" t="s">
        <v>170</v>
      </c>
      <c r="E7" s="90" t="s">
        <v>171</v>
      </c>
      <c r="F7" s="91">
        <v>0.25</v>
      </c>
    </row>
    <row r="8" spans="2:6" ht="31.5" x14ac:dyDescent="0.2">
      <c r="B8" s="498"/>
      <c r="C8" s="500"/>
      <c r="D8" s="89" t="s">
        <v>172</v>
      </c>
      <c r="E8" s="90" t="s">
        <v>173</v>
      </c>
      <c r="F8" s="91">
        <v>0.15</v>
      </c>
    </row>
    <row r="9" spans="2:6" ht="47.25" x14ac:dyDescent="0.2">
      <c r="B9" s="498" t="s">
        <v>174</v>
      </c>
      <c r="C9" s="500" t="s">
        <v>86</v>
      </c>
      <c r="D9" s="89" t="s">
        <v>175</v>
      </c>
      <c r="E9" s="90" t="s">
        <v>176</v>
      </c>
      <c r="F9" s="92" t="s">
        <v>177</v>
      </c>
    </row>
    <row r="10" spans="2:6" ht="63" x14ac:dyDescent="0.2">
      <c r="B10" s="498"/>
      <c r="C10" s="500"/>
      <c r="D10" s="89" t="s">
        <v>178</v>
      </c>
      <c r="E10" s="90" t="s">
        <v>179</v>
      </c>
      <c r="F10" s="92" t="s">
        <v>177</v>
      </c>
    </row>
    <row r="11" spans="2:6" ht="47.25" x14ac:dyDescent="0.2">
      <c r="B11" s="498"/>
      <c r="C11" s="500" t="s">
        <v>87</v>
      </c>
      <c r="D11" s="89" t="s">
        <v>180</v>
      </c>
      <c r="E11" s="90" t="s">
        <v>181</v>
      </c>
      <c r="F11" s="92" t="s">
        <v>177</v>
      </c>
    </row>
    <row r="12" spans="2:6" ht="47.25" x14ac:dyDescent="0.2">
      <c r="B12" s="498"/>
      <c r="C12" s="500"/>
      <c r="D12" s="89" t="s">
        <v>182</v>
      </c>
      <c r="E12" s="90" t="s">
        <v>183</v>
      </c>
      <c r="F12" s="92" t="s">
        <v>177</v>
      </c>
    </row>
    <row r="13" spans="2:6" ht="31.5" x14ac:dyDescent="0.2">
      <c r="B13" s="498"/>
      <c r="C13" s="500" t="s">
        <v>88</v>
      </c>
      <c r="D13" s="89" t="s">
        <v>184</v>
      </c>
      <c r="E13" s="90" t="s">
        <v>185</v>
      </c>
      <c r="F13" s="92" t="s">
        <v>177</v>
      </c>
    </row>
    <row r="14" spans="2:6" ht="32.25" thickBot="1" x14ac:dyDescent="0.25">
      <c r="B14" s="501"/>
      <c r="C14" s="502"/>
      <c r="D14" s="93" t="s">
        <v>186</v>
      </c>
      <c r="E14" s="94" t="s">
        <v>187</v>
      </c>
      <c r="F14" s="95" t="s">
        <v>177</v>
      </c>
    </row>
    <row r="15" spans="2:6" ht="49.5" customHeight="1" x14ac:dyDescent="0.2">
      <c r="B15" s="494" t="s">
        <v>188</v>
      </c>
      <c r="C15" s="494"/>
      <c r="D15" s="494"/>
      <c r="E15" s="494"/>
      <c r="F15" s="494"/>
    </row>
    <row r="16" spans="2:6" ht="27" customHeight="1" x14ac:dyDescent="0.25">
      <c r="B16" s="96"/>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189</v>
      </c>
      <c r="E2" t="s">
        <v>190</v>
      </c>
    </row>
    <row r="3" spans="2:5" x14ac:dyDescent="0.25">
      <c r="B3" t="s">
        <v>191</v>
      </c>
      <c r="E3" t="s">
        <v>192</v>
      </c>
    </row>
    <row r="4" spans="2:5" x14ac:dyDescent="0.25">
      <c r="B4" t="s">
        <v>193</v>
      </c>
      <c r="E4" t="s">
        <v>194</v>
      </c>
    </row>
    <row r="5" spans="2:5" x14ac:dyDescent="0.25">
      <c r="B5" t="s">
        <v>195</v>
      </c>
    </row>
    <row r="8" spans="2:5" x14ac:dyDescent="0.25">
      <c r="B8" t="s">
        <v>196</v>
      </c>
    </row>
    <row r="9" spans="2:5" x14ac:dyDescent="0.25">
      <c r="B9" t="s">
        <v>197</v>
      </c>
    </row>
    <row r="10" spans="2:5" x14ac:dyDescent="0.25">
      <c r="B10" t="s">
        <v>198</v>
      </c>
    </row>
    <row r="13" spans="2:5" x14ac:dyDescent="0.25">
      <c r="B13" t="s">
        <v>199</v>
      </c>
    </row>
    <row r="14" spans="2:5" x14ac:dyDescent="0.25">
      <c r="B14" t="s">
        <v>200</v>
      </c>
    </row>
    <row r="15" spans="2:5" x14ac:dyDescent="0.25">
      <c r="B15" t="s">
        <v>201</v>
      </c>
    </row>
    <row r="16" spans="2:5" x14ac:dyDescent="0.25">
      <c r="B16" t="s">
        <v>202</v>
      </c>
    </row>
    <row r="17" spans="2:2" x14ac:dyDescent="0.25">
      <c r="B17" t="s">
        <v>203</v>
      </c>
    </row>
    <row r="18" spans="2:2" x14ac:dyDescent="0.25">
      <c r="B18" t="s">
        <v>204</v>
      </c>
    </row>
    <row r="19" spans="2:2" x14ac:dyDescent="0.25">
      <c r="B19" t="s">
        <v>205</v>
      </c>
    </row>
  </sheetData>
  <sortState xmlns:xlrd2="http://schemas.microsoft.com/office/spreadsheetml/2017/richdata2" ref="B2:B5">
    <sortCondition ref="B2:B5"/>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6" customWidth="1"/>
    <col min="2" max="16384" width="11.42578125" style="6"/>
  </cols>
  <sheetData>
    <row r="3" spans="1:1" x14ac:dyDescent="0.2">
      <c r="A3" s="7" t="s">
        <v>164</v>
      </c>
    </row>
    <row r="4" spans="1:1" x14ac:dyDescent="0.2">
      <c r="A4" s="7" t="s">
        <v>166</v>
      </c>
    </row>
    <row r="5" spans="1:1" x14ac:dyDescent="0.2">
      <c r="A5" s="7" t="s">
        <v>168</v>
      </c>
    </row>
    <row r="6" spans="1:1" x14ac:dyDescent="0.2">
      <c r="A6" s="7" t="s">
        <v>170</v>
      </c>
    </row>
    <row r="7" spans="1:1" x14ac:dyDescent="0.2">
      <c r="A7" s="7" t="s">
        <v>172</v>
      </c>
    </row>
    <row r="8" spans="1:1" x14ac:dyDescent="0.2">
      <c r="A8" s="7" t="s">
        <v>175</v>
      </c>
    </row>
    <row r="9" spans="1:1" x14ac:dyDescent="0.2">
      <c r="A9" s="7" t="s">
        <v>178</v>
      </c>
    </row>
    <row r="10" spans="1:1" x14ac:dyDescent="0.2">
      <c r="A10" s="7" t="s">
        <v>180</v>
      </c>
    </row>
    <row r="11" spans="1:1" x14ac:dyDescent="0.2">
      <c r="A11" s="7" t="s">
        <v>182</v>
      </c>
    </row>
    <row r="12" spans="1:1" x14ac:dyDescent="0.2">
      <c r="A12" s="7" t="s">
        <v>206</v>
      </c>
    </row>
    <row r="13" spans="1:1" x14ac:dyDescent="0.2">
      <c r="A13" s="7" t="s">
        <v>207</v>
      </c>
    </row>
    <row r="14" spans="1:1" x14ac:dyDescent="0.2">
      <c r="A14" s="7" t="s">
        <v>208</v>
      </c>
    </row>
    <row r="16" spans="1:1" x14ac:dyDescent="0.2">
      <c r="A16" s="7" t="s">
        <v>209</v>
      </c>
    </row>
    <row r="17" spans="1:1" x14ac:dyDescent="0.2">
      <c r="A17" s="7" t="s">
        <v>189</v>
      </c>
    </row>
    <row r="18" spans="1:1" x14ac:dyDescent="0.2">
      <c r="A18" s="7" t="s">
        <v>191</v>
      </c>
    </row>
    <row r="20" spans="1:1" x14ac:dyDescent="0.2">
      <c r="A20" s="7" t="s">
        <v>197</v>
      </c>
    </row>
    <row r="21" spans="1:1" x14ac:dyDescent="0.2">
      <c r="A21" s="7"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8C7F2-2557-0141-AE89-C47E0A8CCE40}">
  <dimension ref="B4:D17"/>
  <sheetViews>
    <sheetView showGridLines="0" topLeftCell="A11" workbookViewId="0">
      <selection activeCell="D17" sqref="D17"/>
    </sheetView>
  </sheetViews>
  <sheetFormatPr baseColWidth="10" defaultRowHeight="15" x14ac:dyDescent="0.25"/>
  <cols>
    <col min="3" max="3" width="46.42578125" customWidth="1"/>
    <col min="4" max="4" width="58" customWidth="1"/>
  </cols>
  <sheetData>
    <row r="4" spans="2:4" ht="52.5" customHeight="1" x14ac:dyDescent="0.25">
      <c r="B4" s="243" t="s">
        <v>211</v>
      </c>
      <c r="C4" s="243"/>
      <c r="D4" s="243"/>
    </row>
    <row r="5" spans="2:4" ht="6.75" customHeight="1" x14ac:dyDescent="0.25">
      <c r="D5" s="119"/>
    </row>
    <row r="6" spans="2:4" ht="15" customHeight="1" x14ac:dyDescent="0.25">
      <c r="B6" s="244" t="s">
        <v>212</v>
      </c>
      <c r="C6" s="120" t="s">
        <v>213</v>
      </c>
      <c r="D6" s="120" t="s">
        <v>214</v>
      </c>
    </row>
    <row r="7" spans="2:4" ht="141.75" x14ac:dyDescent="0.25">
      <c r="B7" s="245"/>
      <c r="C7" s="173" t="s">
        <v>289</v>
      </c>
      <c r="D7" s="173" t="s">
        <v>290</v>
      </c>
    </row>
    <row r="8" spans="2:4" ht="60.75" x14ac:dyDescent="0.25">
      <c r="B8" s="245"/>
      <c r="C8" s="174" t="s">
        <v>291</v>
      </c>
      <c r="D8" s="174" t="s">
        <v>292</v>
      </c>
    </row>
    <row r="9" spans="2:4" ht="60.75" x14ac:dyDescent="0.25">
      <c r="B9" s="245"/>
      <c r="C9" s="173" t="s">
        <v>293</v>
      </c>
      <c r="D9" s="173" t="s">
        <v>294</v>
      </c>
    </row>
    <row r="10" spans="2:4" ht="40.5" x14ac:dyDescent="0.25">
      <c r="B10" s="245"/>
      <c r="C10" s="173" t="s">
        <v>295</v>
      </c>
      <c r="D10" s="174" t="s">
        <v>296</v>
      </c>
    </row>
    <row r="11" spans="2:4" ht="81" customHeight="1" x14ac:dyDescent="0.25">
      <c r="B11" s="245"/>
      <c r="C11" s="176" t="s">
        <v>297</v>
      </c>
      <c r="D11" s="174" t="s">
        <v>298</v>
      </c>
    </row>
    <row r="12" spans="2:4" ht="60.75" x14ac:dyDescent="0.25">
      <c r="B12" s="246"/>
      <c r="C12" s="174" t="s">
        <v>300</v>
      </c>
      <c r="D12" s="173" t="s">
        <v>299</v>
      </c>
    </row>
    <row r="13" spans="2:4" ht="15.75" x14ac:dyDescent="0.25">
      <c r="B13" s="244" t="s">
        <v>215</v>
      </c>
      <c r="C13" s="120" t="s">
        <v>216</v>
      </c>
      <c r="D13" s="120" t="s">
        <v>217</v>
      </c>
    </row>
    <row r="14" spans="2:4" ht="121.5" x14ac:dyDescent="0.25">
      <c r="B14" s="245"/>
      <c r="C14" s="121" t="s">
        <v>301</v>
      </c>
      <c r="D14" s="121" t="s">
        <v>302</v>
      </c>
    </row>
    <row r="15" spans="2:4" ht="40.5" x14ac:dyDescent="0.25">
      <c r="B15" s="245"/>
      <c r="C15" s="247" t="s">
        <v>303</v>
      </c>
      <c r="D15" s="121" t="s">
        <v>304</v>
      </c>
    </row>
    <row r="16" spans="2:4" ht="81" x14ac:dyDescent="0.25">
      <c r="B16" s="245"/>
      <c r="C16" s="247"/>
      <c r="D16" s="175" t="s">
        <v>305</v>
      </c>
    </row>
    <row r="17" spans="2:4" ht="60.75" x14ac:dyDescent="0.25">
      <c r="B17" s="246"/>
      <c r="C17" s="247"/>
      <c r="D17" s="121" t="s">
        <v>306</v>
      </c>
    </row>
  </sheetData>
  <mergeCells count="4">
    <mergeCell ref="B4:D4"/>
    <mergeCell ref="B6:B12"/>
    <mergeCell ref="B13:B17"/>
    <mergeCell ref="C15:C1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63"/>
  <sheetViews>
    <sheetView showGridLines="0" tabSelected="1" zoomScale="80" zoomScaleNormal="80" workbookViewId="0">
      <selection activeCell="C18" sqref="C18:N18"/>
    </sheetView>
  </sheetViews>
  <sheetFormatPr baseColWidth="10" defaultColWidth="11.42578125" defaultRowHeight="16.5" x14ac:dyDescent="0.25"/>
  <cols>
    <col min="1" max="1" width="12.5703125" style="1" customWidth="1"/>
    <col min="2" max="2" width="14.140625" style="1" customWidth="1"/>
    <col min="3" max="3" width="28.28515625" style="1" customWidth="1"/>
    <col min="4" max="4" width="27.140625" style="1" customWidth="1"/>
    <col min="5" max="5" width="42.7109375" style="2" customWidth="1"/>
    <col min="6" max="6" width="19" style="1" customWidth="1"/>
    <col min="7" max="7" width="17.85546875" style="2" customWidth="1"/>
    <col min="8" max="8" width="16.42578125" style="2" customWidth="1"/>
    <col min="9" max="9" width="6.28515625" style="2" bestFit="1" customWidth="1"/>
    <col min="10" max="10" width="27.28515625" style="2" customWidth="1"/>
    <col min="11" max="11" width="7.28515625" style="2" hidden="1" customWidth="1"/>
    <col min="12" max="12" width="17.42578125" style="2" customWidth="1"/>
    <col min="13" max="13" width="6.28515625" style="2" bestFit="1" customWidth="1"/>
    <col min="14" max="14" width="12.7109375" style="2" customWidth="1"/>
    <col min="15" max="15" width="21.7109375" style="2" customWidth="1"/>
    <col min="16" max="16" width="95.140625" style="2" customWidth="1"/>
    <col min="17" max="17" width="15.140625" style="2" bestFit="1" customWidth="1"/>
    <col min="18" max="18" width="6.85546875" style="2" customWidth="1"/>
    <col min="19" max="19" width="12" style="2" customWidth="1"/>
    <col min="20" max="20" width="5.42578125" style="2" customWidth="1"/>
    <col min="21" max="21" width="7.140625" style="2" customWidth="1"/>
    <col min="22" max="22" width="6.7109375" style="2" customWidth="1"/>
    <col min="23" max="23" width="7.42578125" style="2" customWidth="1"/>
    <col min="24" max="24" width="5.28515625" style="2" hidden="1" customWidth="1"/>
    <col min="25" max="25" width="8.7109375" style="2" customWidth="1"/>
    <col min="26" max="26" width="10.42578125" style="2" customWidth="1"/>
    <col min="27" max="27" width="9.28515625" style="2" customWidth="1"/>
    <col min="28" max="28" width="9.140625" style="2" customWidth="1"/>
    <col min="29" max="29" width="8.42578125" style="2" customWidth="1"/>
    <col min="30" max="30" width="7.28515625" style="2" customWidth="1"/>
    <col min="31" max="31" width="23" style="2" customWidth="1"/>
    <col min="32" max="32" width="18.85546875" style="2" customWidth="1"/>
    <col min="33" max="33" width="27.7109375" style="2" customWidth="1"/>
    <col min="34" max="34" width="14.85546875" style="2" customWidth="1"/>
    <col min="35" max="35" width="18.42578125" style="2" customWidth="1"/>
    <col min="36" max="36" width="21" style="2" customWidth="1"/>
    <col min="37" max="16384" width="11.42578125" style="2"/>
  </cols>
  <sheetData>
    <row r="1" spans="1:68" ht="36.950000000000003" customHeight="1" x14ac:dyDescent="0.25">
      <c r="A1" s="335" t="s">
        <v>229</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123" t="s">
        <v>219</v>
      </c>
      <c r="AG1" s="181" t="s">
        <v>220</v>
      </c>
      <c r="AH1" s="142"/>
      <c r="AI1" s="142"/>
      <c r="AJ1" s="142"/>
      <c r="AK1" s="142"/>
      <c r="AL1" s="122"/>
      <c r="AM1" s="122"/>
      <c r="AN1" s="122"/>
      <c r="AO1" s="122"/>
      <c r="AP1" s="182"/>
      <c r="AQ1" s="182"/>
      <c r="AR1" s="182"/>
      <c r="AS1" s="182"/>
      <c r="AT1" s="182"/>
      <c r="AU1" s="182"/>
      <c r="AV1" s="182"/>
      <c r="AW1" s="182"/>
      <c r="AX1" s="182"/>
      <c r="AY1" s="182"/>
      <c r="AZ1" s="182"/>
    </row>
    <row r="2" spans="1:68" x14ac:dyDescent="0.25">
      <c r="A2" s="335"/>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123" t="s">
        <v>221</v>
      </c>
      <c r="AG2" s="181">
        <v>6</v>
      </c>
      <c r="AH2" s="124"/>
      <c r="AI2" s="183"/>
      <c r="AJ2" s="183"/>
      <c r="AK2" s="131"/>
      <c r="AL2" s="183"/>
      <c r="AM2" s="183"/>
      <c r="AN2" s="182"/>
      <c r="AO2" s="129"/>
      <c r="AP2" s="182"/>
      <c r="AQ2" s="182"/>
      <c r="AR2" s="182"/>
      <c r="AS2" s="182"/>
      <c r="AT2" s="182"/>
      <c r="AU2" s="182"/>
      <c r="AV2" s="182"/>
      <c r="AW2" s="182"/>
      <c r="AX2" s="182"/>
      <c r="AY2" s="182"/>
      <c r="AZ2" s="182"/>
    </row>
    <row r="3" spans="1:68" x14ac:dyDescent="0.25">
      <c r="A3" s="335"/>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123" t="s">
        <v>222</v>
      </c>
      <c r="AG3" s="184" t="s">
        <v>288</v>
      </c>
      <c r="AH3" s="124"/>
      <c r="AI3" s="183"/>
      <c r="AJ3" s="183"/>
      <c r="AK3" s="131"/>
      <c r="AL3" s="183"/>
      <c r="AM3" s="183"/>
      <c r="AN3" s="182"/>
      <c r="AO3" s="129"/>
      <c r="AP3" s="182"/>
      <c r="AQ3" s="182"/>
      <c r="AR3" s="182"/>
      <c r="AS3" s="182"/>
      <c r="AT3" s="182"/>
      <c r="AU3" s="182"/>
      <c r="AV3" s="182"/>
      <c r="AW3" s="182"/>
      <c r="AX3" s="182"/>
      <c r="AY3" s="182"/>
      <c r="AZ3" s="182"/>
    </row>
    <row r="4" spans="1:68" ht="15.95" customHeight="1" x14ac:dyDescent="0.2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127" t="s">
        <v>223</v>
      </c>
      <c r="AG4" s="172">
        <v>241903</v>
      </c>
      <c r="AH4" s="124"/>
      <c r="AI4" s="183"/>
      <c r="AJ4" s="183"/>
      <c r="AK4" s="131"/>
      <c r="AL4" s="183"/>
      <c r="AM4" s="183"/>
      <c r="AN4" s="182"/>
      <c r="AO4" s="129"/>
      <c r="AP4" s="182"/>
      <c r="AQ4" s="182"/>
      <c r="AR4" s="182"/>
      <c r="AS4" s="182"/>
      <c r="AT4" s="182"/>
      <c r="AU4" s="182"/>
      <c r="AV4" s="182"/>
      <c r="AW4" s="182"/>
      <c r="AX4" s="182"/>
      <c r="AY4" s="182"/>
      <c r="AZ4" s="182"/>
    </row>
    <row r="5" spans="1:68" ht="24" customHeight="1" x14ac:dyDescent="0.25">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H5" s="124"/>
      <c r="AI5" s="183"/>
      <c r="AJ5" s="183"/>
      <c r="AK5" s="131"/>
      <c r="AL5" s="183"/>
      <c r="AM5" s="183"/>
      <c r="AN5" s="182"/>
      <c r="AO5" s="129"/>
      <c r="AP5" s="182"/>
      <c r="AQ5" s="182"/>
      <c r="AR5" s="182"/>
      <c r="AS5" s="182"/>
      <c r="AT5" s="182"/>
      <c r="AU5" s="182"/>
      <c r="AV5" s="182"/>
      <c r="AW5" s="182"/>
      <c r="AX5" s="182"/>
      <c r="AY5" s="182"/>
      <c r="AZ5" s="182"/>
    </row>
    <row r="6" spans="1:68" x14ac:dyDescent="0.25">
      <c r="A6" s="125"/>
      <c r="B6" s="125"/>
      <c r="C6" s="185"/>
      <c r="D6" s="126"/>
      <c r="E6" s="126"/>
      <c r="F6" s="126"/>
      <c r="G6" s="126"/>
      <c r="H6" s="126"/>
      <c r="I6" s="126"/>
      <c r="J6" s="126"/>
      <c r="K6" s="140"/>
      <c r="L6" s="126"/>
      <c r="M6" s="182"/>
      <c r="N6" s="182"/>
      <c r="O6" s="182"/>
      <c r="P6" s="126"/>
      <c r="Q6" s="125"/>
      <c r="R6" s="125"/>
      <c r="S6" s="125"/>
      <c r="T6" s="128"/>
      <c r="U6" s="128"/>
      <c r="V6" s="128"/>
      <c r="W6" s="128"/>
      <c r="X6" s="128"/>
      <c r="Y6" s="128"/>
      <c r="Z6" s="128"/>
      <c r="AA6" s="129"/>
      <c r="AB6" s="129"/>
      <c r="AC6" s="129"/>
      <c r="AD6" s="129"/>
      <c r="AE6" s="129"/>
      <c r="AH6" s="130"/>
      <c r="AI6" s="131"/>
      <c r="AJ6" s="131"/>
      <c r="AK6" s="131"/>
      <c r="AL6" s="131"/>
      <c r="AM6" s="131"/>
      <c r="AN6" s="132"/>
      <c r="AO6" s="132"/>
      <c r="AP6" s="132"/>
      <c r="AQ6" s="132"/>
      <c r="AR6" s="129"/>
      <c r="AS6" s="129"/>
      <c r="AT6" s="129"/>
      <c r="AU6" s="129"/>
      <c r="AV6" s="129"/>
      <c r="AW6" s="129"/>
      <c r="AX6" s="129"/>
      <c r="AY6" s="129"/>
      <c r="AZ6" s="129"/>
    </row>
    <row r="7" spans="1:68" ht="27.95" customHeight="1" x14ac:dyDescent="0.25">
      <c r="A7" s="134"/>
      <c r="B7" s="134"/>
      <c r="C7" s="182"/>
      <c r="D7" s="182"/>
      <c r="E7" s="182"/>
      <c r="F7" s="182"/>
      <c r="G7" s="182"/>
      <c r="H7" s="182"/>
      <c r="I7" s="182"/>
      <c r="J7" s="182"/>
      <c r="L7" s="182"/>
      <c r="M7" s="182"/>
      <c r="N7" s="338" t="s">
        <v>224</v>
      </c>
      <c r="O7" s="338"/>
      <c r="P7" s="338"/>
      <c r="Q7" s="338"/>
      <c r="R7" s="338"/>
      <c r="S7" s="338"/>
      <c r="T7" s="123"/>
      <c r="U7" s="123"/>
      <c r="V7" s="123"/>
      <c r="W7" s="123"/>
      <c r="X7" s="123"/>
      <c r="Y7" s="123"/>
      <c r="Z7" s="123"/>
      <c r="AA7" s="133"/>
      <c r="AB7" s="133"/>
      <c r="AC7" s="133"/>
      <c r="AD7" s="133"/>
      <c r="AE7" s="133"/>
      <c r="AF7" s="133"/>
      <c r="AG7" s="133"/>
      <c r="AH7" s="124"/>
      <c r="AI7" s="183"/>
      <c r="AJ7" s="183"/>
      <c r="AK7" s="183"/>
      <c r="AL7" s="183"/>
      <c r="AM7" s="183"/>
      <c r="AN7" s="186">
        <v>0</v>
      </c>
      <c r="AO7" s="132"/>
      <c r="AP7" s="186"/>
      <c r="AQ7" s="186"/>
      <c r="AR7" s="182"/>
      <c r="AS7" s="182"/>
      <c r="AT7" s="182"/>
      <c r="AU7" s="182"/>
      <c r="AV7" s="182"/>
      <c r="AW7" s="182"/>
      <c r="AX7" s="182"/>
      <c r="AY7" s="182"/>
      <c r="AZ7" s="182"/>
    </row>
    <row r="8" spans="1:68" ht="16.5" customHeight="1" x14ac:dyDescent="0.25">
      <c r="A8" s="134"/>
      <c r="B8" s="134"/>
      <c r="C8" s="182"/>
      <c r="D8" s="182"/>
      <c r="E8" s="182"/>
      <c r="F8" s="182"/>
      <c r="G8" s="182"/>
      <c r="H8" s="182"/>
      <c r="I8" s="182"/>
      <c r="J8" s="182"/>
      <c r="L8" s="182"/>
      <c r="M8" s="182"/>
      <c r="N8" s="141" t="s">
        <v>225</v>
      </c>
      <c r="O8" s="141" t="s">
        <v>226</v>
      </c>
      <c r="P8" s="340" t="s">
        <v>227</v>
      </c>
      <c r="Q8" s="341"/>
      <c r="R8" s="341"/>
      <c r="S8" s="342"/>
      <c r="T8" s="123"/>
      <c r="U8" s="123"/>
      <c r="V8" s="123"/>
      <c r="W8" s="123"/>
      <c r="X8" s="123"/>
      <c r="Y8" s="123"/>
      <c r="Z8" s="123"/>
      <c r="AA8" s="133"/>
      <c r="AB8" s="133"/>
      <c r="AC8" s="133"/>
      <c r="AD8" s="133"/>
      <c r="AE8" s="133"/>
      <c r="AF8" s="133"/>
      <c r="AG8" s="133"/>
      <c r="AH8" s="124"/>
      <c r="AI8" s="183"/>
      <c r="AJ8" s="183"/>
      <c r="AK8" s="183"/>
      <c r="AL8" s="183"/>
      <c r="AM8" s="183"/>
      <c r="AN8" s="186">
        <v>0</v>
      </c>
      <c r="AO8" s="132"/>
      <c r="AP8" s="186"/>
      <c r="AQ8" s="186"/>
      <c r="AR8" s="182"/>
      <c r="AS8" s="182"/>
      <c r="AT8" s="182"/>
      <c r="AU8" s="182"/>
      <c r="AV8" s="182"/>
      <c r="AW8" s="182"/>
      <c r="AX8" s="182"/>
      <c r="AY8" s="182"/>
      <c r="AZ8" s="182"/>
    </row>
    <row r="9" spans="1:68" ht="77.25" customHeight="1" x14ac:dyDescent="0.25">
      <c r="A9" s="134"/>
      <c r="B9" s="134"/>
      <c r="C9" s="182"/>
      <c r="D9" s="182"/>
      <c r="E9" s="182"/>
      <c r="F9" s="182"/>
      <c r="G9" s="182"/>
      <c r="H9" s="182"/>
      <c r="I9" s="182"/>
      <c r="J9" s="182"/>
      <c r="L9" s="182"/>
      <c r="M9" s="182"/>
      <c r="N9" s="177">
        <v>1</v>
      </c>
      <c r="O9" s="178">
        <v>43098</v>
      </c>
      <c r="P9" s="343" t="s">
        <v>307</v>
      </c>
      <c r="Q9" s="344"/>
      <c r="R9" s="344"/>
      <c r="S9" s="345"/>
      <c r="T9" s="123"/>
      <c r="U9" s="123"/>
      <c r="V9" s="123"/>
      <c r="W9" s="339"/>
      <c r="X9" s="339"/>
      <c r="Y9" s="339"/>
      <c r="Z9" s="339"/>
      <c r="AA9" s="339"/>
      <c r="AB9" s="339"/>
      <c r="AC9" s="137"/>
      <c r="AD9" s="137"/>
      <c r="AE9" s="137"/>
      <c r="AF9" s="182"/>
      <c r="AG9" s="182"/>
      <c r="AH9" s="124"/>
      <c r="AI9" s="183"/>
      <c r="AJ9" s="183"/>
      <c r="AK9" s="183"/>
      <c r="AL9" s="183"/>
      <c r="AM9" s="183"/>
      <c r="AN9" s="186">
        <v>0</v>
      </c>
      <c r="AO9" s="132"/>
      <c r="AP9" s="186"/>
      <c r="AQ9" s="186"/>
      <c r="AR9" s="182"/>
      <c r="AS9" s="182"/>
      <c r="AT9" s="182"/>
      <c r="AU9" s="182"/>
      <c r="AV9" s="182"/>
      <c r="AW9" s="182"/>
      <c r="AX9" s="182"/>
      <c r="AY9" s="182"/>
      <c r="AZ9" s="182"/>
    </row>
    <row r="10" spans="1:68" ht="117" customHeight="1" x14ac:dyDescent="0.25">
      <c r="A10" s="134"/>
      <c r="B10" s="134"/>
      <c r="C10" s="182"/>
      <c r="D10" s="182"/>
      <c r="E10" s="182"/>
      <c r="F10" s="182"/>
      <c r="G10" s="182"/>
      <c r="H10" s="182"/>
      <c r="I10" s="182"/>
      <c r="J10" s="182"/>
      <c r="L10" s="123"/>
      <c r="M10" s="123"/>
      <c r="N10" s="179">
        <v>2</v>
      </c>
      <c r="O10" s="180">
        <v>43761</v>
      </c>
      <c r="P10" s="343" t="s">
        <v>308</v>
      </c>
      <c r="Q10" s="344"/>
      <c r="R10" s="344"/>
      <c r="S10" s="345"/>
      <c r="T10" s="123"/>
      <c r="U10" s="123"/>
      <c r="V10" s="123"/>
      <c r="W10" s="336"/>
      <c r="X10" s="336"/>
      <c r="Y10" s="336"/>
      <c r="Z10" s="336"/>
      <c r="AA10" s="336"/>
      <c r="AB10" s="336"/>
      <c r="AC10" s="138"/>
      <c r="AD10" s="138"/>
      <c r="AE10" s="139"/>
      <c r="AF10" s="182"/>
      <c r="AG10" s="182"/>
      <c r="AH10" s="124"/>
      <c r="AI10" s="183"/>
      <c r="AJ10" s="183"/>
      <c r="AK10" s="183"/>
      <c r="AL10" s="183"/>
      <c r="AM10" s="183"/>
      <c r="AN10" s="186">
        <v>0</v>
      </c>
      <c r="AO10" s="132"/>
      <c r="AP10" s="186"/>
      <c r="AQ10" s="186"/>
      <c r="AR10" s="182"/>
      <c r="AS10" s="182"/>
      <c r="AT10" s="182"/>
      <c r="AU10" s="182"/>
      <c r="AV10" s="182"/>
      <c r="AW10" s="182"/>
      <c r="AX10" s="182"/>
      <c r="AY10" s="182"/>
      <c r="AZ10" s="182"/>
    </row>
    <row r="11" spans="1:68" ht="63" customHeight="1" x14ac:dyDescent="0.25">
      <c r="A11" s="134"/>
      <c r="B11" s="134"/>
      <c r="C11" s="182"/>
      <c r="D11" s="182"/>
      <c r="E11" s="182"/>
      <c r="F11" s="182"/>
      <c r="G11" s="182"/>
      <c r="H11" s="182"/>
      <c r="I11" s="182"/>
      <c r="J11" s="182"/>
      <c r="L11" s="123"/>
      <c r="M11" s="123"/>
      <c r="N11" s="179">
        <v>3</v>
      </c>
      <c r="O11" s="180">
        <v>44278</v>
      </c>
      <c r="P11" s="343" t="s">
        <v>309</v>
      </c>
      <c r="Q11" s="344"/>
      <c r="R11" s="344"/>
      <c r="S11" s="345"/>
      <c r="T11" s="123"/>
      <c r="U11" s="123"/>
      <c r="V11" s="123"/>
      <c r="W11" s="138"/>
      <c r="X11" s="138"/>
      <c r="Y11" s="138"/>
      <c r="Z11" s="138"/>
      <c r="AA11" s="138"/>
      <c r="AB11" s="138"/>
      <c r="AC11" s="138"/>
      <c r="AD11" s="138"/>
      <c r="AE11" s="139"/>
      <c r="AF11" s="182"/>
      <c r="AG11" s="182"/>
      <c r="AH11" s="124"/>
      <c r="AI11" s="183"/>
      <c r="AJ11" s="183"/>
      <c r="AK11" s="183"/>
      <c r="AL11" s="183"/>
      <c r="AM11" s="183"/>
      <c r="AN11" s="186"/>
      <c r="AO11" s="132"/>
      <c r="AP11" s="186"/>
      <c r="AQ11" s="186"/>
      <c r="AR11" s="182"/>
      <c r="AS11" s="182"/>
      <c r="AT11" s="182"/>
      <c r="AU11" s="182"/>
      <c r="AV11" s="182"/>
      <c r="AW11" s="182"/>
      <c r="AX11" s="182"/>
      <c r="AY11" s="182"/>
      <c r="AZ11" s="182"/>
    </row>
    <row r="12" spans="1:68" ht="72" customHeight="1" x14ac:dyDescent="0.25">
      <c r="A12" s="134"/>
      <c r="B12" s="134"/>
      <c r="C12" s="182"/>
      <c r="D12" s="182"/>
      <c r="E12" s="182"/>
      <c r="F12" s="182"/>
      <c r="G12" s="182"/>
      <c r="H12" s="182"/>
      <c r="I12" s="182"/>
      <c r="J12" s="182"/>
      <c r="L12" s="123"/>
      <c r="M12" s="123"/>
      <c r="N12" s="179">
        <v>4</v>
      </c>
      <c r="O12" s="178">
        <v>44678</v>
      </c>
      <c r="P12" s="343" t="s">
        <v>310</v>
      </c>
      <c r="Q12" s="344"/>
      <c r="R12" s="344"/>
      <c r="S12" s="345"/>
      <c r="T12" s="123"/>
      <c r="U12" s="123"/>
      <c r="V12" s="123"/>
      <c r="W12" s="138"/>
      <c r="X12" s="138"/>
      <c r="Y12" s="138"/>
      <c r="Z12" s="138"/>
      <c r="AA12" s="138"/>
      <c r="AB12" s="138"/>
      <c r="AC12" s="138"/>
      <c r="AD12" s="138"/>
      <c r="AE12" s="139"/>
      <c r="AF12" s="182"/>
      <c r="AG12" s="182"/>
      <c r="AH12" s="124"/>
      <c r="AI12" s="183"/>
      <c r="AJ12" s="183"/>
      <c r="AK12" s="183"/>
      <c r="AL12" s="183"/>
      <c r="AM12" s="183"/>
      <c r="AN12" s="186"/>
      <c r="AO12" s="132"/>
      <c r="AP12" s="186"/>
      <c r="AQ12" s="186"/>
      <c r="AR12" s="182"/>
      <c r="AS12" s="182"/>
      <c r="AT12" s="182"/>
      <c r="AU12" s="182"/>
      <c r="AV12" s="182"/>
      <c r="AW12" s="182"/>
      <c r="AX12" s="182"/>
      <c r="AY12" s="182"/>
      <c r="AZ12" s="182"/>
    </row>
    <row r="13" spans="1:68" ht="99" customHeight="1" x14ac:dyDescent="0.25">
      <c r="A13" s="134"/>
      <c r="B13" s="134"/>
      <c r="C13" s="182"/>
      <c r="D13" s="182"/>
      <c r="E13" s="182"/>
      <c r="F13" s="182"/>
      <c r="G13" s="182"/>
      <c r="H13" s="182"/>
      <c r="I13" s="182"/>
      <c r="J13" s="182"/>
      <c r="L13" s="123"/>
      <c r="M13" s="123"/>
      <c r="N13" s="177">
        <v>5</v>
      </c>
      <c r="O13" s="503">
        <v>45280</v>
      </c>
      <c r="P13" s="343" t="s">
        <v>311</v>
      </c>
      <c r="Q13" s="344"/>
      <c r="R13" s="344"/>
      <c r="S13" s="345"/>
      <c r="T13" s="123"/>
      <c r="U13" s="123"/>
      <c r="V13" s="123"/>
      <c r="W13" s="138"/>
      <c r="X13" s="138"/>
      <c r="Y13" s="138"/>
      <c r="Z13" s="138"/>
      <c r="AA13" s="138"/>
      <c r="AB13" s="138"/>
      <c r="AC13" s="138"/>
      <c r="AD13" s="138"/>
      <c r="AE13" s="139"/>
      <c r="AF13" s="182"/>
      <c r="AG13" s="182"/>
      <c r="AH13" s="124"/>
      <c r="AI13" s="183"/>
      <c r="AJ13" s="183"/>
      <c r="AK13" s="183"/>
      <c r="AL13" s="183"/>
      <c r="AM13" s="183"/>
      <c r="AN13" s="186"/>
      <c r="AO13" s="132"/>
      <c r="AP13" s="186"/>
      <c r="AQ13" s="186"/>
      <c r="AR13" s="182"/>
      <c r="AS13" s="182"/>
      <c r="AT13" s="182"/>
      <c r="AU13" s="182"/>
      <c r="AV13" s="182"/>
      <c r="AW13" s="182"/>
      <c r="AX13" s="182"/>
      <c r="AY13" s="182"/>
      <c r="AZ13" s="182"/>
    </row>
    <row r="14" spans="1:68" ht="18.75" x14ac:dyDescent="0.25">
      <c r="A14" s="337" t="s">
        <v>228</v>
      </c>
      <c r="B14" s="337"/>
      <c r="C14" s="337"/>
      <c r="D14" s="337"/>
      <c r="E14" s="337"/>
      <c r="F14" s="337"/>
      <c r="G14" s="337"/>
      <c r="H14" s="337"/>
      <c r="I14" s="337"/>
      <c r="J14" s="337"/>
      <c r="K14" s="123"/>
      <c r="L14" s="123"/>
      <c r="M14" s="123"/>
      <c r="N14" s="123"/>
      <c r="O14" s="135"/>
      <c r="P14" s="123"/>
      <c r="Q14" s="123"/>
      <c r="R14" s="123"/>
      <c r="S14" s="123"/>
      <c r="T14" s="123"/>
      <c r="U14" s="123"/>
      <c r="V14" s="123"/>
      <c r="W14" s="133"/>
      <c r="X14" s="133"/>
      <c r="Y14" s="133"/>
      <c r="Z14" s="133"/>
      <c r="AA14" s="133"/>
      <c r="AB14" s="187"/>
      <c r="AC14" s="187"/>
      <c r="AD14" s="187"/>
      <c r="AE14" s="187"/>
      <c r="AF14" s="136"/>
      <c r="AG14" s="136"/>
      <c r="AH14" s="183"/>
      <c r="AI14" s="183"/>
      <c r="AJ14" s="183"/>
      <c r="AK14" s="183"/>
      <c r="AL14" s="183"/>
      <c r="AM14" s="131"/>
      <c r="AN14" s="186"/>
      <c r="AO14" s="186"/>
      <c r="AP14" s="182"/>
      <c r="AQ14" s="182"/>
      <c r="AR14" s="182"/>
      <c r="AS14" s="182"/>
      <c r="AT14" s="182"/>
      <c r="AU14" s="182"/>
      <c r="AV14" s="182"/>
      <c r="AW14" s="182"/>
      <c r="AX14" s="182"/>
      <c r="AY14" s="182"/>
      <c r="AZ14" s="182"/>
    </row>
    <row r="15" spans="1:68" ht="16.5" customHeight="1" x14ac:dyDescent="0.25">
      <c r="A15" s="297"/>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9"/>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row>
    <row r="16" spans="1:68" ht="24" customHeight="1" x14ac:dyDescent="0.25">
      <c r="A16" s="300"/>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2"/>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row>
    <row r="17" spans="1:68" x14ac:dyDescent="0.25">
      <c r="A17" s="24"/>
      <c r="B17" s="25"/>
      <c r="C17" s="24"/>
      <c r="D17" s="24"/>
      <c r="E17" s="23"/>
      <c r="F17" s="24"/>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row>
    <row r="18" spans="1:68" ht="26.25" customHeight="1" x14ac:dyDescent="0.25">
      <c r="A18" s="317" t="s">
        <v>58</v>
      </c>
      <c r="B18" s="318"/>
      <c r="C18" s="293" t="s">
        <v>312</v>
      </c>
      <c r="D18" s="294"/>
      <c r="E18" s="294"/>
      <c r="F18" s="294"/>
      <c r="G18" s="294"/>
      <c r="H18" s="294"/>
      <c r="I18" s="294"/>
      <c r="J18" s="294"/>
      <c r="K18" s="294"/>
      <c r="L18" s="294"/>
      <c r="M18" s="294"/>
      <c r="N18" s="295"/>
      <c r="O18" s="296"/>
      <c r="P18" s="296"/>
      <c r="Q18" s="296"/>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row>
    <row r="19" spans="1:68" ht="49.5" customHeight="1" x14ac:dyDescent="0.25">
      <c r="A19" s="317" t="s">
        <v>59</v>
      </c>
      <c r="B19" s="318"/>
      <c r="C19" s="327" t="s">
        <v>313</v>
      </c>
      <c r="D19" s="294"/>
      <c r="E19" s="294"/>
      <c r="F19" s="294"/>
      <c r="G19" s="294"/>
      <c r="H19" s="294"/>
      <c r="I19" s="294"/>
      <c r="J19" s="294"/>
      <c r="K19" s="294"/>
      <c r="L19" s="294"/>
      <c r="M19" s="294"/>
      <c r="N19" s="295"/>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row>
    <row r="20" spans="1:68" ht="49.5" customHeight="1" x14ac:dyDescent="0.25">
      <c r="A20" s="317" t="s">
        <v>60</v>
      </c>
      <c r="B20" s="318"/>
      <c r="C20" s="327" t="s">
        <v>314</v>
      </c>
      <c r="D20" s="328"/>
      <c r="E20" s="328"/>
      <c r="F20" s="328"/>
      <c r="G20" s="328"/>
      <c r="H20" s="328"/>
      <c r="I20" s="328"/>
      <c r="J20" s="328"/>
      <c r="K20" s="328"/>
      <c r="L20" s="328"/>
      <c r="M20" s="328"/>
      <c r="N20" s="329"/>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row>
    <row r="21" spans="1:68" x14ac:dyDescent="0.25">
      <c r="A21" s="303" t="s">
        <v>61</v>
      </c>
      <c r="B21" s="304"/>
      <c r="C21" s="304"/>
      <c r="D21" s="304"/>
      <c r="E21" s="304"/>
      <c r="F21" s="304"/>
      <c r="G21" s="305"/>
      <c r="H21" s="303" t="s">
        <v>62</v>
      </c>
      <c r="I21" s="304"/>
      <c r="J21" s="304"/>
      <c r="K21" s="304"/>
      <c r="L21" s="304"/>
      <c r="M21" s="304"/>
      <c r="N21" s="305"/>
      <c r="O21" s="303" t="s">
        <v>63</v>
      </c>
      <c r="P21" s="304"/>
      <c r="Q21" s="304"/>
      <c r="R21" s="304"/>
      <c r="S21" s="304"/>
      <c r="T21" s="304"/>
      <c r="U21" s="304"/>
      <c r="V21" s="304"/>
      <c r="W21" s="305"/>
      <c r="X21" s="303" t="s">
        <v>64</v>
      </c>
      <c r="Y21" s="304"/>
      <c r="Z21" s="304"/>
      <c r="AA21" s="304"/>
      <c r="AB21" s="304"/>
      <c r="AC21" s="304"/>
      <c r="AD21" s="305"/>
      <c r="AE21" s="303" t="s">
        <v>65</v>
      </c>
      <c r="AF21" s="304"/>
      <c r="AG21" s="304"/>
      <c r="AH21" s="304"/>
      <c r="AI21" s="304"/>
      <c r="AJ21" s="305"/>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row>
    <row r="22" spans="1:68" ht="16.5" customHeight="1" x14ac:dyDescent="0.25">
      <c r="A22" s="319" t="s">
        <v>66</v>
      </c>
      <c r="B22" s="324" t="s">
        <v>13</v>
      </c>
      <c r="C22" s="322" t="s">
        <v>15</v>
      </c>
      <c r="D22" s="322" t="s">
        <v>17</v>
      </c>
      <c r="E22" s="323" t="s">
        <v>19</v>
      </c>
      <c r="F22" s="321" t="s">
        <v>21</v>
      </c>
      <c r="G22" s="322" t="s">
        <v>67</v>
      </c>
      <c r="H22" s="331" t="s">
        <v>68</v>
      </c>
      <c r="I22" s="332" t="s">
        <v>69</v>
      </c>
      <c r="J22" s="321" t="s">
        <v>70</v>
      </c>
      <c r="K22" s="321" t="s">
        <v>71</v>
      </c>
      <c r="L22" s="334" t="s">
        <v>72</v>
      </c>
      <c r="M22" s="332" t="s">
        <v>69</v>
      </c>
      <c r="N22" s="322" t="s">
        <v>27</v>
      </c>
      <c r="O22" s="325" t="s">
        <v>73</v>
      </c>
      <c r="P22" s="316" t="s">
        <v>29</v>
      </c>
      <c r="Q22" s="321" t="s">
        <v>31</v>
      </c>
      <c r="R22" s="316" t="s">
        <v>74</v>
      </c>
      <c r="S22" s="316"/>
      <c r="T22" s="316"/>
      <c r="U22" s="316"/>
      <c r="V22" s="316"/>
      <c r="W22" s="316"/>
      <c r="X22" s="330" t="s">
        <v>75</v>
      </c>
      <c r="Y22" s="330" t="s">
        <v>76</v>
      </c>
      <c r="Z22" s="330" t="s">
        <v>69</v>
      </c>
      <c r="AA22" s="330" t="s">
        <v>77</v>
      </c>
      <c r="AB22" s="330" t="s">
        <v>69</v>
      </c>
      <c r="AC22" s="330" t="s">
        <v>78</v>
      </c>
      <c r="AD22" s="325" t="s">
        <v>47</v>
      </c>
      <c r="AE22" s="316" t="s">
        <v>65</v>
      </c>
      <c r="AF22" s="316" t="s">
        <v>79</v>
      </c>
      <c r="AG22" s="316" t="s">
        <v>80</v>
      </c>
      <c r="AH22" s="316" t="s">
        <v>81</v>
      </c>
      <c r="AI22" s="316" t="s">
        <v>82</v>
      </c>
      <c r="AJ22" s="316" t="s">
        <v>51</v>
      </c>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row>
    <row r="23" spans="1:68" s="3" customFormat="1" ht="94.5" customHeight="1" x14ac:dyDescent="0.25">
      <c r="A23" s="320"/>
      <c r="B23" s="324"/>
      <c r="C23" s="316"/>
      <c r="D23" s="316"/>
      <c r="E23" s="324"/>
      <c r="F23" s="322"/>
      <c r="G23" s="316"/>
      <c r="H23" s="322"/>
      <c r="I23" s="333"/>
      <c r="J23" s="322"/>
      <c r="K23" s="322"/>
      <c r="L23" s="333"/>
      <c r="M23" s="333"/>
      <c r="N23" s="316"/>
      <c r="O23" s="326"/>
      <c r="P23" s="316"/>
      <c r="Q23" s="322"/>
      <c r="R23" s="5" t="s">
        <v>83</v>
      </c>
      <c r="S23" s="5" t="s">
        <v>84</v>
      </c>
      <c r="T23" s="5" t="s">
        <v>85</v>
      </c>
      <c r="U23" s="5" t="s">
        <v>86</v>
      </c>
      <c r="V23" s="5" t="s">
        <v>87</v>
      </c>
      <c r="W23" s="5" t="s">
        <v>88</v>
      </c>
      <c r="X23" s="330"/>
      <c r="Y23" s="330"/>
      <c r="Z23" s="330"/>
      <c r="AA23" s="330"/>
      <c r="AB23" s="330"/>
      <c r="AC23" s="330"/>
      <c r="AD23" s="326"/>
      <c r="AE23" s="316"/>
      <c r="AF23" s="316"/>
      <c r="AG23" s="316"/>
      <c r="AH23" s="316"/>
      <c r="AI23" s="316"/>
      <c r="AJ23" s="316"/>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row>
    <row r="24" spans="1:68" ht="81" customHeight="1" x14ac:dyDescent="0.25">
      <c r="A24" s="276" t="s">
        <v>315</v>
      </c>
      <c r="B24" s="248" t="s">
        <v>192</v>
      </c>
      <c r="C24" s="188" t="s">
        <v>316</v>
      </c>
      <c r="D24" s="279" t="s">
        <v>319</v>
      </c>
      <c r="E24" s="281" t="s">
        <v>320</v>
      </c>
      <c r="F24" s="248" t="s">
        <v>232</v>
      </c>
      <c r="G24" s="262">
        <v>11000</v>
      </c>
      <c r="H24" s="270" t="str">
        <f>IF(G24&lt;=0,"",IF(G24&lt;=2,"Muy Baja",IF(G24&lt;=24,"Baja",IF(G24&lt;=500,"Media",IF(G24&lt;=5000,"Alta","Muy Alta")))))</f>
        <v>Muy Alta</v>
      </c>
      <c r="I24" s="272">
        <f>IF(H24="","",IF(H24="Muy Baja",0.2,IF(H24="Baja",0.4,IF(H24="Media",0.6,IF(H24="Alta",0.8,IF(H24="Muy Alta",1,))))))</f>
        <v>1</v>
      </c>
      <c r="J24" s="284" t="s">
        <v>143</v>
      </c>
      <c r="K24" s="272" t="str">
        <f>IF(NOT(ISERROR(MATCH(J24,'Tabla Impacto'!$B$221:$B$223,0))),'Tabla Impacto'!$F$228&amp;"Por favor no seleccionar los criterios de impacto(Afectación Económica o presupuestal y Pérdida Reputacional)",J24)</f>
        <v xml:space="preserve">     El riesgo afecta la imagen de alguna área de la organización</v>
      </c>
      <c r="L24" s="270" t="str">
        <f>IF(OR(K24='Tabla Impacto'!$C$11,K24='Tabla Impacto'!$D$11),"Leve",IF(OR(K24='Tabla Impacto'!$C$12,K24='Tabla Impacto'!$D$12),"Menor",IF(OR(K24='Tabla Impacto'!$C$13,K24='Tabla Impacto'!$D$13),"Moderado",IF(OR(K24='Tabla Impacto'!$C$14,K24='Tabla Impacto'!$D$14),"Mayor",IF(OR(K24='Tabla Impacto'!$C$15,K24='Tabla Impacto'!$D$15),"Catastrófico","")))))</f>
        <v>Leve</v>
      </c>
      <c r="M24" s="272">
        <f>IF(L24="","",IF(L24="Leve",0.2,IF(L24="Menor",0.4,IF(L24="Moderado",0.6,IF(L24="Mayor",0.8,IF(L24="Catastrófico",1,))))))</f>
        <v>0.2</v>
      </c>
      <c r="N24" s="274"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Alto</v>
      </c>
      <c r="O24" s="266">
        <v>1</v>
      </c>
      <c r="P24" s="264" t="s">
        <v>321</v>
      </c>
      <c r="Q24" s="268" t="str">
        <f>IF(OR(R24="Preventivo",R24="Detectivo"),"Probabilidad",IF(R24="Correctivo","Impacto",""))</f>
        <v>Probabilidad</v>
      </c>
      <c r="R24" s="258" t="s">
        <v>166</v>
      </c>
      <c r="S24" s="258" t="s">
        <v>172</v>
      </c>
      <c r="T24" s="250" t="str">
        <f>IF(AND(R24="Preventivo",S24="Automático"),"50%",IF(AND(R24="Preventivo",S24="Manual"),"40%",IF(AND(R24="Detectivo",S24="Automático"),"40%",IF(AND(R24="Detectivo",S24="Manual"),"30%",IF(AND(R24="Correctivo",S24="Automático"),"35%",IF(AND(R24="Correctivo",S24="Manual"),"25%",""))))))</f>
        <v>30%</v>
      </c>
      <c r="U24" s="258" t="s">
        <v>175</v>
      </c>
      <c r="V24" s="258" t="s">
        <v>180</v>
      </c>
      <c r="W24" s="258" t="s">
        <v>184</v>
      </c>
      <c r="X24" s="154">
        <f>IFERROR(IF(Q24="Probabilidad",(I24-(+I24*T24)),IF(Q24="Impacto",I24,"")),"")</f>
        <v>0.7</v>
      </c>
      <c r="Y24" s="252" t="str">
        <f>IFERROR(IF(X24="","",IF(X24&lt;=0.2,"Muy Baja",IF(X24&lt;=0.4,"Baja",IF(X24&lt;=0.6,"Media",IF(X24&lt;=0.8,"Alta","Muy Alta"))))),"")</f>
        <v>Alta</v>
      </c>
      <c r="Z24" s="250">
        <f>+X24</f>
        <v>0.7</v>
      </c>
      <c r="AA24" s="252" t="str">
        <f>IFERROR(IF(AB24="","",IF(AB24&lt;=0.2,"Leve",IF(AB24&lt;=0.4,"Menor",IF(AB24&lt;=0.6,"Moderado",IF(AB24&lt;=0.8,"Mayor","Catastrófico"))))),"")</f>
        <v>Leve</v>
      </c>
      <c r="AB24" s="250">
        <f>IFERROR(IF(Q24="Impacto",(M24-(+M24*T24)),IF(Q24="Probabilidad",M24,"")),"")</f>
        <v>0.2</v>
      </c>
      <c r="AC24" s="254"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258" t="s">
        <v>189</v>
      </c>
      <c r="AE24" s="248"/>
      <c r="AF24" s="262"/>
      <c r="AG24" s="260"/>
      <c r="AH24" s="260"/>
      <c r="AI24" s="248"/>
      <c r="AJ24" s="262"/>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row>
    <row r="25" spans="1:68" ht="62.25" customHeight="1" x14ac:dyDescent="0.25">
      <c r="A25" s="277"/>
      <c r="B25" s="278"/>
      <c r="C25" s="197" t="s">
        <v>317</v>
      </c>
      <c r="D25" s="280"/>
      <c r="E25" s="282"/>
      <c r="F25" s="278"/>
      <c r="G25" s="283"/>
      <c r="H25" s="314"/>
      <c r="I25" s="309"/>
      <c r="J25" s="315"/>
      <c r="K25" s="309">
        <f>IF(NOT(ISERROR(MATCH(J25,_xlfn.ANCHORARRAY(E30),0))),#REF!&amp;"Por favor no seleccionar los criterios de impacto",J25)</f>
        <v>0</v>
      </c>
      <c r="L25" s="314"/>
      <c r="M25" s="309"/>
      <c r="N25" s="310"/>
      <c r="O25" s="277"/>
      <c r="P25" s="292"/>
      <c r="Q25" s="291"/>
      <c r="R25" s="287"/>
      <c r="S25" s="287"/>
      <c r="T25" s="288"/>
      <c r="U25" s="287"/>
      <c r="V25" s="287"/>
      <c r="W25" s="287"/>
      <c r="X25" s="154" t="str">
        <f>IFERROR(IF(AND(Q24="Probabilidad",Q25="Probabilidad"),(Z24-(+Z24*T25)),IF(Q25="Probabilidad",(I24-(+I24*T25)),IF(Q25="Impacto",Z24,""))),"")</f>
        <v/>
      </c>
      <c r="Y25" s="289"/>
      <c r="Z25" s="288"/>
      <c r="AA25" s="289"/>
      <c r="AB25" s="288"/>
      <c r="AC25" s="290"/>
      <c r="AD25" s="287"/>
      <c r="AE25" s="278"/>
      <c r="AF25" s="283"/>
      <c r="AG25" s="286"/>
      <c r="AH25" s="286"/>
      <c r="AI25" s="278"/>
      <c r="AJ25" s="28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row>
    <row r="26" spans="1:68" ht="73.5" customHeight="1" x14ac:dyDescent="0.25">
      <c r="A26" s="277"/>
      <c r="B26" s="278"/>
      <c r="C26" s="188" t="s">
        <v>318</v>
      </c>
      <c r="D26" s="280"/>
      <c r="E26" s="282"/>
      <c r="F26" s="278"/>
      <c r="G26" s="283"/>
      <c r="H26" s="314"/>
      <c r="I26" s="309"/>
      <c r="J26" s="315"/>
      <c r="K26" s="309">
        <f>IF(NOT(ISERROR(MATCH(J26,_xlfn.ANCHORARRAY(#REF!),0))),#REF!&amp;"Por favor no seleccionar los criterios de impacto",J26)</f>
        <v>0</v>
      </c>
      <c r="L26" s="314"/>
      <c r="M26" s="309"/>
      <c r="N26" s="310"/>
      <c r="O26" s="267"/>
      <c r="P26" s="265"/>
      <c r="Q26" s="269"/>
      <c r="R26" s="259"/>
      <c r="S26" s="259"/>
      <c r="T26" s="251"/>
      <c r="U26" s="259"/>
      <c r="V26" s="259"/>
      <c r="W26" s="259"/>
      <c r="X26" s="154" t="str">
        <f>IFERROR(IF(AND(Q25="Probabilidad",Q26="Probabilidad"),(Z25-(+Z25*T26)),IF(AND(Q25="Impacto",Q26="Probabilidad"),(Z24-(+Z24*T26)),IF(Q26="Impacto",Z25,""))),"")</f>
        <v/>
      </c>
      <c r="Y26" s="253"/>
      <c r="Z26" s="251"/>
      <c r="AA26" s="253"/>
      <c r="AB26" s="251"/>
      <c r="AC26" s="255"/>
      <c r="AD26" s="259"/>
      <c r="AE26" s="249"/>
      <c r="AF26" s="263"/>
      <c r="AG26" s="261"/>
      <c r="AH26" s="261"/>
      <c r="AI26" s="249"/>
      <c r="AJ26" s="26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row>
    <row r="27" spans="1:68" ht="129.75" customHeight="1" x14ac:dyDescent="0.25">
      <c r="A27" s="276" t="s">
        <v>322</v>
      </c>
      <c r="B27" s="248" t="s">
        <v>194</v>
      </c>
      <c r="C27" s="188" t="s">
        <v>323</v>
      </c>
      <c r="D27" s="279" t="s">
        <v>326</v>
      </c>
      <c r="E27" s="281" t="s">
        <v>327</v>
      </c>
      <c r="F27" s="248" t="s">
        <v>232</v>
      </c>
      <c r="G27" s="262">
        <v>5000</v>
      </c>
      <c r="H27" s="270" t="str">
        <f>IF(G27&lt;=0,"",IF(G27&lt;=2,"Muy Baja",IF(G27&lt;=24,"Baja",IF(G27&lt;=500,"Media",IF(G27&lt;=5000,"Alta","Muy Alta")))))</f>
        <v>Alta</v>
      </c>
      <c r="I27" s="272">
        <f>IF(H27="","",IF(H27="Muy Baja",0.2,IF(H27="Baja",0.4,IF(H27="Media",0.6,IF(H27="Alta",0.8,IF(H27="Muy Alta",1,))))))</f>
        <v>0.8</v>
      </c>
      <c r="J27" s="284" t="s">
        <v>148</v>
      </c>
      <c r="K27" s="272" t="str">
        <f>IF(NOT(ISERROR(MATCH(J27,'Tabla Impacto'!$B$221:$B$223,0))),'Tabla Impacto'!$F$228&amp;"Por favor no seleccionar los criterios de impacto(Afectación Económica o presupuestal y Pérdida Reputacional)",J27)</f>
        <v xml:space="preserve">     El riesgo afecta la imagen de la entidad con algunos usuarios de relevancia frente al logro de los objetivos</v>
      </c>
      <c r="L27" s="270" t="str">
        <f>IF(OR(K27='Tabla Impacto'!$C$11,K27='Tabla Impacto'!$D$11),"Leve",IF(OR(K27='Tabla Impacto'!$C$12,K27='Tabla Impacto'!$D$12),"Menor",IF(OR(K27='Tabla Impacto'!$C$13,K27='Tabla Impacto'!$D$13),"Moderado",IF(OR(K27='Tabla Impacto'!$C$14,K27='Tabla Impacto'!$D$14),"Mayor",IF(OR(K27='Tabla Impacto'!$C$15,K27='Tabla Impacto'!$D$15),"Catastrófico","")))))</f>
        <v>Moderado</v>
      </c>
      <c r="M27" s="272">
        <f>IF(L27="","",IF(L27="Leve",0.2,IF(L27="Menor",0.4,IF(L27="Moderado",0.6,IF(L27="Mayor",0.8,IF(L27="Catastrófico",1,))))))</f>
        <v>0.6</v>
      </c>
      <c r="N27" s="274"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Alto</v>
      </c>
      <c r="O27" s="4">
        <v>1</v>
      </c>
      <c r="P27" s="188" t="s">
        <v>328</v>
      </c>
      <c r="Q27" s="189" t="str">
        <f>IF(OR(R27="Preventivo",R27="Detectivo"),"Probabilidad",IF(R27="Correctivo","Impacto",""))</f>
        <v>Probabilidad</v>
      </c>
      <c r="R27" s="190" t="s">
        <v>166</v>
      </c>
      <c r="S27" s="190" t="s">
        <v>172</v>
      </c>
      <c r="T27" s="191" t="str">
        <f>IF(AND(R27="Preventivo",S27="Automático"),"50%",IF(AND(R27="Preventivo",S27="Manual"),"40%",IF(AND(R27="Detectivo",S27="Automático"),"40%",IF(AND(R27="Detectivo",S27="Manual"),"30%",IF(AND(R27="Correctivo",S27="Automático"),"35%",IF(AND(R27="Correctivo",S27="Manual"),"25%",""))))))</f>
        <v>30%</v>
      </c>
      <c r="U27" s="190" t="s">
        <v>175</v>
      </c>
      <c r="V27" s="190" t="s">
        <v>180</v>
      </c>
      <c r="W27" s="190" t="s">
        <v>184</v>
      </c>
      <c r="X27" s="154">
        <f>IFERROR(IF(Q27="Probabilidad",(I27-(+I27*T27)),IF(Q27="Impacto",I27,"")),"")</f>
        <v>0.56000000000000005</v>
      </c>
      <c r="Y27" s="192" t="str">
        <f>IFERROR(IF(X27="","",IF(X27&lt;=0.2,"Muy Baja",IF(X27&lt;=0.4,"Baja",IF(X27&lt;=0.6,"Media",IF(X27&lt;=0.8,"Alta","Muy Alta"))))),"")</f>
        <v>Media</v>
      </c>
      <c r="Z27" s="160">
        <f>+X27</f>
        <v>0.56000000000000005</v>
      </c>
      <c r="AA27" s="192" t="str">
        <f>IFERROR(IF(AB27="","",IF(AB27&lt;=0.2,"Leve",IF(AB27&lt;=0.4,"Menor",IF(AB27&lt;=0.6,"Moderado",IF(AB27&lt;=0.8,"Mayor","Catastrófico"))))),"")</f>
        <v>Moderado</v>
      </c>
      <c r="AB27" s="160">
        <f>IFERROR(IF(Q27="Impacto",(M27-(+M27*T27)),IF(Q27="Probabilidad",M27,"")),"")</f>
        <v>0.6</v>
      </c>
      <c r="AC27" s="19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Moderado</v>
      </c>
      <c r="AD27" s="258" t="s">
        <v>189</v>
      </c>
      <c r="AE27" s="248"/>
      <c r="AF27" s="262"/>
      <c r="AG27" s="260"/>
      <c r="AH27" s="260"/>
      <c r="AI27" s="248"/>
      <c r="AJ27" s="262"/>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row>
    <row r="28" spans="1:68" ht="87.75" customHeight="1" x14ac:dyDescent="0.25">
      <c r="A28" s="277"/>
      <c r="B28" s="278"/>
      <c r="C28" s="199" t="s">
        <v>325</v>
      </c>
      <c r="D28" s="280"/>
      <c r="E28" s="282"/>
      <c r="F28" s="278"/>
      <c r="G28" s="283"/>
      <c r="H28" s="314"/>
      <c r="I28" s="309"/>
      <c r="J28" s="315"/>
      <c r="K28" s="309">
        <f>IF(NOT(ISERROR(MATCH(J28,_xlfn.ANCHORARRAY(E31),0))),#REF!&amp;"Por favor no seleccionar los criterios de impacto",J28)</f>
        <v>0</v>
      </c>
      <c r="L28" s="314"/>
      <c r="M28" s="309"/>
      <c r="N28" s="310"/>
      <c r="O28" s="4">
        <v>2</v>
      </c>
      <c r="P28" s="188" t="s">
        <v>329</v>
      </c>
      <c r="Q28" s="189" t="str">
        <f>IF(OR(R28="Preventivo",R28="Detectivo"),"Probabilidad",IF(R28="Correctivo","Impacto",""))</f>
        <v>Probabilidad</v>
      </c>
      <c r="R28" s="190" t="s">
        <v>164</v>
      </c>
      <c r="S28" s="190" t="s">
        <v>172</v>
      </c>
      <c r="T28" s="191" t="str">
        <f t="shared" ref="T28:T29" si="0">IF(AND(R28="Preventivo",S28="Automático"),"50%",IF(AND(R28="Preventivo",S28="Manual"),"40%",IF(AND(R28="Detectivo",S28="Automático"),"40%",IF(AND(R28="Detectivo",S28="Manual"),"30%",IF(AND(R28="Correctivo",S28="Automático"),"35%",IF(AND(R28="Correctivo",S28="Manual"),"25%",""))))))</f>
        <v>40%</v>
      </c>
      <c r="U28" s="190" t="s">
        <v>178</v>
      </c>
      <c r="V28" s="190" t="s">
        <v>180</v>
      </c>
      <c r="W28" s="190" t="s">
        <v>184</v>
      </c>
      <c r="X28" s="154">
        <f>IFERROR(IF(AND(Q27="Probabilidad",Q28="Probabilidad"),(Z27-(+Z27*T28)),IF(Q28="Probabilidad",(I27-(+I27*T28)),IF(Q28="Impacto",Z27,""))),"")</f>
        <v>0.33600000000000002</v>
      </c>
      <c r="Y28" s="192" t="str">
        <f t="shared" ref="Y28:Y60" si="1">IFERROR(IF(X28="","",IF(X28&lt;=0.2,"Muy Baja",IF(X28&lt;=0.4,"Baja",IF(X28&lt;=0.6,"Media",IF(X28&lt;=0.8,"Alta","Muy Alta"))))),"")</f>
        <v>Baja</v>
      </c>
      <c r="Z28" s="160">
        <f t="shared" ref="Z28:Z29" si="2">+X28</f>
        <v>0.33600000000000002</v>
      </c>
      <c r="AA28" s="192" t="str">
        <f t="shared" ref="AA28:AA60" si="3">IFERROR(IF(AB28="","",IF(AB28&lt;=0.2,"Leve",IF(AB28&lt;=0.4,"Menor",IF(AB28&lt;=0.6,"Moderado",IF(AB28&lt;=0.8,"Mayor","Catastrófico"))))),"")</f>
        <v>Moderado</v>
      </c>
      <c r="AB28" s="160">
        <f>IFERROR(IF(AND(Q27="Impacto",Q28="Impacto"),(AB27-(+AB27*T28)),IF(Q28="Impacto",(M27-(+M27*T28)),IF(Q28="Probabilidad",AB27,""))),"")</f>
        <v>0.6</v>
      </c>
      <c r="AC28" s="193" t="str">
        <f t="shared" ref="AC28:AC29" si="4">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287"/>
      <c r="AE28" s="278"/>
      <c r="AF28" s="283"/>
      <c r="AG28" s="286"/>
      <c r="AH28" s="286"/>
      <c r="AI28" s="278"/>
      <c r="AJ28" s="28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row>
    <row r="29" spans="1:68" ht="82.5" x14ac:dyDescent="0.25">
      <c r="A29" s="277"/>
      <c r="B29" s="278"/>
      <c r="C29" s="197" t="s">
        <v>324</v>
      </c>
      <c r="D29" s="280"/>
      <c r="E29" s="282"/>
      <c r="F29" s="278"/>
      <c r="G29" s="283"/>
      <c r="H29" s="314"/>
      <c r="I29" s="309"/>
      <c r="J29" s="315"/>
      <c r="K29" s="309">
        <f>IF(NOT(ISERROR(MATCH(J29,_xlfn.ANCHORARRAY(E32),0))),#REF!&amp;"Por favor no seleccionar los criterios de impacto",J29)</f>
        <v>0</v>
      </c>
      <c r="L29" s="314"/>
      <c r="M29" s="309"/>
      <c r="N29" s="310"/>
      <c r="O29" s="4">
        <v>3</v>
      </c>
      <c r="P29" s="200" t="s">
        <v>330</v>
      </c>
      <c r="Q29" s="189" t="str">
        <f>IF(OR(R29="Preventivo",R29="Detectivo"),"Probabilidad",IF(R29="Correctivo","Impacto",""))</f>
        <v>Probabilidad</v>
      </c>
      <c r="R29" s="190" t="s">
        <v>166</v>
      </c>
      <c r="S29" s="190" t="s">
        <v>172</v>
      </c>
      <c r="T29" s="191" t="str">
        <f t="shared" si="0"/>
        <v>30%</v>
      </c>
      <c r="U29" s="190" t="s">
        <v>178</v>
      </c>
      <c r="V29" s="190" t="s">
        <v>180</v>
      </c>
      <c r="W29" s="190" t="s">
        <v>184</v>
      </c>
      <c r="X29" s="154">
        <f>IFERROR(IF(AND(Q28="Probabilidad",Q29="Probabilidad"),(Z28-(+Z28*T29)),IF(AND(Q28="Impacto",Q29="Probabilidad"),(Z27-(+Z27*T29)),IF(Q29="Impacto",Z28,""))),"")</f>
        <v>0.23520000000000002</v>
      </c>
      <c r="Y29" s="192" t="str">
        <f t="shared" si="1"/>
        <v>Baja</v>
      </c>
      <c r="Z29" s="160">
        <f t="shared" si="2"/>
        <v>0.23520000000000002</v>
      </c>
      <c r="AA29" s="192" t="str">
        <f t="shared" si="3"/>
        <v>Moderado</v>
      </c>
      <c r="AB29" s="160">
        <f>IFERROR(IF(AND(Q28="Impacto",Q29="Impacto"),(AB28-(+AB28*T29)),IF(AND(Q28="Probabilidad",Q29="Impacto"),(AB27-(+AB27*T29)),IF(Q29="Probabilidad",AB28,""))),"")</f>
        <v>0.6</v>
      </c>
      <c r="AC29" s="193" t="str">
        <f t="shared" si="4"/>
        <v>Moderado</v>
      </c>
      <c r="AD29" s="259"/>
      <c r="AE29" s="249"/>
      <c r="AF29" s="263"/>
      <c r="AG29" s="261"/>
      <c r="AH29" s="261"/>
      <c r="AI29" s="249"/>
      <c r="AJ29" s="26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row>
    <row r="30" spans="1:68" ht="163.5" customHeight="1" x14ac:dyDescent="0.25">
      <c r="A30" s="170" t="s">
        <v>331</v>
      </c>
      <c r="B30" s="165" t="s">
        <v>194</v>
      </c>
      <c r="C30" s="188" t="s">
        <v>332</v>
      </c>
      <c r="D30" s="168" t="s">
        <v>333</v>
      </c>
      <c r="E30" s="169" t="s">
        <v>334</v>
      </c>
      <c r="F30" s="165" t="s">
        <v>232</v>
      </c>
      <c r="G30" s="166">
        <v>50000</v>
      </c>
      <c r="H30" s="167" t="str">
        <f>IF(G30&lt;=0,"",IF(G30&lt;=2,"Muy Baja",IF(G30&lt;=24,"Baja",IF(G30&lt;=500,"Media",IF(G30&lt;=5000,"Alta","Muy Alta")))))</f>
        <v>Muy Alta</v>
      </c>
      <c r="I30" s="163">
        <f>IF(H30="","",IF(H30="Muy Baja",0.2,IF(H30="Baja",0.4,IF(H30="Media",0.6,IF(H30="Alta",0.8,IF(H30="Muy Alta",1,))))))</f>
        <v>1</v>
      </c>
      <c r="J30" s="171" t="s">
        <v>148</v>
      </c>
      <c r="K30" s="163" t="str">
        <f>IF(NOT(ISERROR(MATCH(J30,'Tabla Impacto'!$B$221:$B$223,0))),'Tabla Impacto'!$F$228&amp;"Por favor no seleccionar los criterios de impacto(Afectación Económica o presupuestal y Pérdida Reputacional)",J30)</f>
        <v xml:space="preserve">     El riesgo afecta la imagen de la entidad con algunos usuarios de relevancia frente al logro de los objetivos</v>
      </c>
      <c r="L30" s="167" t="str">
        <f>IF(OR(K30='Tabla Impacto'!$C$11,K30='Tabla Impacto'!$D$11),"Leve",IF(OR(K30='Tabla Impacto'!$C$12,K30='Tabla Impacto'!$D$12),"Menor",IF(OR(K30='Tabla Impacto'!$C$13,K30='Tabla Impacto'!$D$13),"Moderado",IF(OR(K30='Tabla Impacto'!$C$14,K30='Tabla Impacto'!$D$14),"Mayor",IF(OR(K30='Tabla Impacto'!$C$15,K30='Tabla Impacto'!$D$15),"Catastrófico","")))))</f>
        <v>Moderado</v>
      </c>
      <c r="M30" s="163">
        <f>IF(L30="","",IF(L30="Leve",0.2,IF(L30="Menor",0.4,IF(L30="Moderado",0.6,IF(L30="Mayor",0.8,IF(L30="Catastrófico",1,))))))</f>
        <v>0.6</v>
      </c>
      <c r="N30" s="164"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Alto</v>
      </c>
      <c r="O30" s="4">
        <v>1</v>
      </c>
      <c r="P30" s="188" t="s">
        <v>335</v>
      </c>
      <c r="Q30" s="189" t="str">
        <f>IF(OR(R30="Preventivo",R30="Detectivo"),"Probabilidad",IF(R30="Correctivo","Impacto",""))</f>
        <v>Probabilidad</v>
      </c>
      <c r="R30" s="190" t="s">
        <v>166</v>
      </c>
      <c r="S30" s="190" t="s">
        <v>172</v>
      </c>
      <c r="T30" s="191" t="str">
        <f>IF(AND(R30="Preventivo",S30="Automático"),"50%",IF(AND(R30="Preventivo",S30="Manual"),"40%",IF(AND(R30="Detectivo",S30="Automático"),"40%",IF(AND(R30="Detectivo",S30="Manual"),"30%",IF(AND(R30="Correctivo",S30="Automático"),"35%",IF(AND(R30="Correctivo",S30="Manual"),"25%",""))))))</f>
        <v>30%</v>
      </c>
      <c r="U30" s="190" t="s">
        <v>178</v>
      </c>
      <c r="V30" s="190" t="s">
        <v>180</v>
      </c>
      <c r="W30" s="190" t="s">
        <v>184</v>
      </c>
      <c r="X30" s="154">
        <f>IFERROR(IF(Q30="Probabilidad",(I30-(+I30*T30)),IF(Q30="Impacto",I30,"")),"")</f>
        <v>0.7</v>
      </c>
      <c r="Y30" s="192" t="str">
        <f>IFERROR(IF(X30="","",IF(X30&lt;=0.2,"Muy Baja",IF(X30&lt;=0.4,"Baja",IF(X30&lt;=0.6,"Media",IF(X30&lt;=0.8,"Alta","Muy Alta"))))),"")</f>
        <v>Alta</v>
      </c>
      <c r="Z30" s="160">
        <f>+X30</f>
        <v>0.7</v>
      </c>
      <c r="AA30" s="192" t="str">
        <f>IFERROR(IF(AB30="","",IF(AB30&lt;=0.2,"Leve",IF(AB30&lt;=0.4,"Menor",IF(AB30&lt;=0.6,"Moderado",IF(AB30&lt;=0.8,"Mayor","Catastrófico"))))),"")</f>
        <v>Moderado</v>
      </c>
      <c r="AB30" s="160">
        <f>IFERROR(IF(Q30="Impacto",(M30-(+M30*T30)),IF(Q30="Probabilidad",M30,"")),"")</f>
        <v>0.6</v>
      </c>
      <c r="AC30" s="19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Alto</v>
      </c>
      <c r="AD30" s="161" t="s">
        <v>189</v>
      </c>
      <c r="AE30" s="194"/>
      <c r="AF30" s="195"/>
      <c r="AG30" s="196"/>
      <c r="AH30" s="196"/>
      <c r="AI30" s="194"/>
      <c r="AJ30" s="195"/>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row>
    <row r="31" spans="1:68" ht="77.25" customHeight="1" x14ac:dyDescent="0.25">
      <c r="A31" s="276" t="s">
        <v>336</v>
      </c>
      <c r="B31" s="248" t="s">
        <v>192</v>
      </c>
      <c r="C31" s="188" t="s">
        <v>337</v>
      </c>
      <c r="D31" s="279" t="s">
        <v>339</v>
      </c>
      <c r="E31" s="281" t="s">
        <v>340</v>
      </c>
      <c r="F31" s="248" t="s">
        <v>232</v>
      </c>
      <c r="G31" s="262">
        <v>380</v>
      </c>
      <c r="H31" s="270" t="str">
        <f>IF(G31&lt;=0,"",IF(G31&lt;=2,"Muy Baja",IF(G31&lt;=24,"Baja",IF(G31&lt;=500,"Media",IF(G31&lt;=5000,"Alta","Muy Alta")))))</f>
        <v>Media</v>
      </c>
      <c r="I31" s="272">
        <f>IF(H31="","",IF(H31="Muy Baja",0.2,IF(H31="Baja",0.4,IF(H31="Media",0.6,IF(H31="Alta",0.8,IF(H31="Muy Alta",1,))))))</f>
        <v>0.6</v>
      </c>
      <c r="J31" s="284" t="s">
        <v>146</v>
      </c>
      <c r="K31" s="272" t="str">
        <f>IF(NOT(ISERROR(MATCH(J31,'Tabla Impacto'!$B$221:$B$223,0))),'Tabla Impacto'!$F$228&amp;"Por favor no seleccionar los criterios de impacto(Afectación Económica o presupuestal y Pérdida Reputacional)",J31)</f>
        <v xml:space="preserve">     El riesgo afecta la imagen de la entidad internamente, de conocimiento general, nivel interno, de junta dircetiva y accionistas y/o de provedores</v>
      </c>
      <c r="L31" s="270" t="str">
        <f>IF(OR(K31='Tabla Impacto'!$C$11,K31='Tabla Impacto'!$D$11),"Leve",IF(OR(K31='Tabla Impacto'!$C$12,K31='Tabla Impacto'!$D$12),"Menor",IF(OR(K31='Tabla Impacto'!$C$13,K31='Tabla Impacto'!$D$13),"Moderado",IF(OR(K31='Tabla Impacto'!$C$14,K31='Tabla Impacto'!$D$14),"Mayor",IF(OR(K31='Tabla Impacto'!$C$15,K31='Tabla Impacto'!$D$15),"Catastrófico","")))))</f>
        <v>Menor</v>
      </c>
      <c r="M31" s="272">
        <f>IF(L31="","",IF(L31="Leve",0.2,IF(L31="Menor",0.4,IF(L31="Moderado",0.6,IF(L31="Mayor",0.8,IF(L31="Catastrófico",1,))))))</f>
        <v>0.4</v>
      </c>
      <c r="N31" s="274"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Moderado</v>
      </c>
      <c r="O31" s="266">
        <v>1</v>
      </c>
      <c r="P31" s="264" t="s">
        <v>341</v>
      </c>
      <c r="Q31" s="268" t="str">
        <f>IF(OR(R31="Preventivo",R31="Detectivo"),"Probabilidad",IF(R31="Correctivo","Impacto",""))</f>
        <v>Probabilidad</v>
      </c>
      <c r="R31" s="258" t="s">
        <v>166</v>
      </c>
      <c r="S31" s="258" t="s">
        <v>172</v>
      </c>
      <c r="T31" s="250" t="str">
        <f>IF(AND(R31="Preventivo",S31="Automático"),"50%",IF(AND(R31="Preventivo",S31="Manual"),"40%",IF(AND(R31="Detectivo",S31="Automático"),"40%",IF(AND(R31="Detectivo",S31="Manual"),"30%",IF(AND(R31="Correctivo",S31="Automático"),"35%",IF(AND(R31="Correctivo",S31="Manual"),"25%",""))))))</f>
        <v>30%</v>
      </c>
      <c r="U31" s="258" t="s">
        <v>175</v>
      </c>
      <c r="V31" s="258" t="s">
        <v>180</v>
      </c>
      <c r="W31" s="258" t="s">
        <v>184</v>
      </c>
      <c r="X31" s="154">
        <f>IFERROR(IF(Q31="Probabilidad",(I31-(+I31*T31)),IF(Q31="Impacto",I31,"")),"")</f>
        <v>0.42</v>
      </c>
      <c r="Y31" s="252" t="str">
        <f>IFERROR(IF(X31="","",IF(X31&lt;=0.2,"Muy Baja",IF(X31&lt;=0.4,"Baja",IF(X31&lt;=0.6,"Media",IF(X31&lt;=0.8,"Alta","Muy Alta"))))),"")</f>
        <v>Media</v>
      </c>
      <c r="Z31" s="250">
        <f>+X31</f>
        <v>0.42</v>
      </c>
      <c r="AA31" s="252" t="str">
        <f>IFERROR(IF(AB31="","",IF(AB31&lt;=0.2,"Leve",IF(AB31&lt;=0.4,"Menor",IF(AB31&lt;=0.6,"Moderado",IF(AB31&lt;=0.8,"Mayor","Catastrófico"))))),"")</f>
        <v>Menor</v>
      </c>
      <c r="AB31" s="250">
        <f>IFERROR(IF(Q31="Impacto",(M31-(+M31*T31)),IF(Q31="Probabilidad",M31,"")),"")</f>
        <v>0.4</v>
      </c>
      <c r="AC31" s="254"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Moderado</v>
      </c>
      <c r="AD31" s="258" t="s">
        <v>189</v>
      </c>
      <c r="AE31" s="248"/>
      <c r="AF31" s="248"/>
      <c r="AG31" s="248"/>
      <c r="AH31" s="248"/>
      <c r="AI31" s="248"/>
      <c r="AJ31" s="248"/>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row>
    <row r="32" spans="1:68" ht="94.5" customHeight="1" x14ac:dyDescent="0.25">
      <c r="A32" s="277"/>
      <c r="B32" s="278"/>
      <c r="C32" s="197" t="s">
        <v>338</v>
      </c>
      <c r="D32" s="280"/>
      <c r="E32" s="282"/>
      <c r="F32" s="278"/>
      <c r="G32" s="283"/>
      <c r="H32" s="314"/>
      <c r="I32" s="309"/>
      <c r="J32" s="315"/>
      <c r="K32" s="309">
        <f>IF(NOT(ISERROR(MATCH(J32,_xlfn.ANCHORARRAY(E35),0))),#REF!&amp;"Por favor no seleccionar los criterios de impacto",J32)</f>
        <v>0</v>
      </c>
      <c r="L32" s="314"/>
      <c r="M32" s="309"/>
      <c r="N32" s="310"/>
      <c r="O32" s="267"/>
      <c r="P32" s="265"/>
      <c r="Q32" s="269"/>
      <c r="R32" s="259"/>
      <c r="S32" s="259"/>
      <c r="T32" s="251"/>
      <c r="U32" s="259"/>
      <c r="V32" s="259"/>
      <c r="W32" s="259"/>
      <c r="X32" s="154" t="str">
        <f>IFERROR(IF(AND(Q31="Probabilidad",Q32="Probabilidad"),(Z31-(+Z31*T32)),IF(Q32="Probabilidad",(I31-(+I31*T32)),IF(Q32="Impacto",Z31,""))),"")</f>
        <v/>
      </c>
      <c r="Y32" s="253"/>
      <c r="Z32" s="251"/>
      <c r="AA32" s="253"/>
      <c r="AB32" s="251"/>
      <c r="AC32" s="255"/>
      <c r="AD32" s="259"/>
      <c r="AE32" s="249"/>
      <c r="AF32" s="249"/>
      <c r="AG32" s="249"/>
      <c r="AH32" s="249"/>
      <c r="AI32" s="249"/>
      <c r="AJ32" s="249"/>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row>
    <row r="33" spans="1:68" ht="81" customHeight="1" x14ac:dyDescent="0.25">
      <c r="A33" s="276" t="s">
        <v>342</v>
      </c>
      <c r="B33" s="248" t="s">
        <v>192</v>
      </c>
      <c r="C33" s="188" t="s">
        <v>343</v>
      </c>
      <c r="D33" s="279" t="s">
        <v>345</v>
      </c>
      <c r="E33" s="281" t="s">
        <v>346</v>
      </c>
      <c r="F33" s="248" t="s">
        <v>232</v>
      </c>
      <c r="G33" s="262">
        <v>25</v>
      </c>
      <c r="H33" s="270" t="str">
        <f>IF(G33&lt;=0,"",IF(G33&lt;=2,"Muy Baja",IF(G33&lt;=24,"Baja",IF(G33&lt;=500,"Media",IF(G33&lt;=5000,"Alta","Muy Alta")))))</f>
        <v>Media</v>
      </c>
      <c r="I33" s="272">
        <f>IF(H33="","",IF(H33="Muy Baja",0.2,IF(H33="Baja",0.4,IF(H33="Media",0.6,IF(H33="Alta",0.8,IF(H33="Muy Alta",1,))))))</f>
        <v>0.6</v>
      </c>
      <c r="J33" s="284" t="s">
        <v>148</v>
      </c>
      <c r="K33" s="272" t="str">
        <f>IF(NOT(ISERROR(MATCH(J33,'Tabla Impacto'!$B$221:$B$223,0))),'Tabla Impacto'!$F$228&amp;"Por favor no seleccionar los criterios de impacto(Afectación Económica o presupuestal y Pérdida Reputacional)",J33)</f>
        <v xml:space="preserve">     El riesgo afecta la imagen de la entidad con algunos usuarios de relevancia frente al logro de los objetivos</v>
      </c>
      <c r="L33" s="270" t="str">
        <f>IF(OR(K33='Tabla Impacto'!$C$11,K33='Tabla Impacto'!$D$11),"Leve",IF(OR(K33='Tabla Impacto'!$C$12,K33='Tabla Impacto'!$D$12),"Menor",IF(OR(K33='Tabla Impacto'!$C$13,K33='Tabla Impacto'!$D$13),"Moderado",IF(OR(K33='Tabla Impacto'!$C$14,K33='Tabla Impacto'!$D$14),"Mayor",IF(OR(K33='Tabla Impacto'!$C$15,K33='Tabla Impacto'!$D$15),"Catastrófico","")))))</f>
        <v>Moderado</v>
      </c>
      <c r="M33" s="272">
        <f>IF(L33="","",IF(L33="Leve",0.2,IF(L33="Menor",0.4,IF(L33="Moderado",0.6,IF(L33="Mayor",0.8,IF(L33="Catastrófico",1,))))))</f>
        <v>0.6</v>
      </c>
      <c r="N33" s="274" t="str">
        <f>IF(OR(AND(H33="Muy Baja",L33="Leve"),AND(H33="Muy Baja",L33="Menor"),AND(H33="Baja",L33="Leve")),"Bajo",IF(OR(AND(H33="Muy baja",L33="Moderado"),AND(H33="Baja",L33="Menor"),AND(H33="Baja",L33="Moderado"),AND(H33="Media",L33="Leve"),AND(H33="Media",L33="Menor"),AND(H33="Media",L33="Moderado"),AND(H33="Alta",L33="Leve"),AND(H33="Alta",L33="Menor")),"Moderado",IF(OR(AND(H33="Muy Baja",L33="Mayor"),AND(H33="Baja",L33="Mayor"),AND(H33="Media",L33="Mayor"),AND(H33="Alta",L33="Moderado"),AND(H33="Alta",L33="Mayor"),AND(H33="Muy Alta",L33="Leve"),AND(H33="Muy Alta",L33="Menor"),AND(H33="Muy Alta",L33="Moderado"),AND(H33="Muy Alta",L33="Mayor")),"Alto",IF(OR(AND(H33="Muy Baja",L33="Catastrófico"),AND(H33="Baja",L33="Catastrófico"),AND(H33="Media",L33="Catastrófico"),AND(H33="Alta",L33="Catastrófico"),AND(H33="Muy Alta",L33="Catastrófico")),"Extremo",""))))</f>
        <v>Moderado</v>
      </c>
      <c r="O33" s="266">
        <v>1</v>
      </c>
      <c r="P33" s="264" t="s">
        <v>347</v>
      </c>
      <c r="Q33" s="268" t="str">
        <f>IF(OR(R33="Preventivo",R33="Detectivo"),"Probabilidad",IF(R33="Correctivo","Impacto",""))</f>
        <v>Probabilidad</v>
      </c>
      <c r="R33" s="258" t="s">
        <v>164</v>
      </c>
      <c r="S33" s="258" t="s">
        <v>172</v>
      </c>
      <c r="T33" s="250" t="str">
        <f>IF(AND(R33="Preventivo",S33="Automático"),"50%",IF(AND(R33="Preventivo",S33="Manual"),"40%",IF(AND(R33="Detectivo",S33="Automático"),"40%",IF(AND(R33="Detectivo",S33="Manual"),"30%",IF(AND(R33="Correctivo",S33="Automático"),"35%",IF(AND(R33="Correctivo",S33="Manual"),"25%",""))))))</f>
        <v>40%</v>
      </c>
      <c r="U33" s="258" t="s">
        <v>175</v>
      </c>
      <c r="V33" s="258" t="s">
        <v>180</v>
      </c>
      <c r="W33" s="258" t="s">
        <v>184</v>
      </c>
      <c r="X33" s="154">
        <f>IFERROR(IF(Q33="Probabilidad",(I33-(+I33*T33)),IF(Q33="Impacto",I33,"")),"")</f>
        <v>0.36</v>
      </c>
      <c r="Y33" s="252" t="str">
        <f>IFERROR(IF(X33="","",IF(X33&lt;=0.2,"Muy Baja",IF(X33&lt;=0.4,"Baja",IF(X33&lt;=0.6,"Media",IF(X33&lt;=0.8,"Alta","Muy Alta"))))),"")</f>
        <v>Baja</v>
      </c>
      <c r="Z33" s="250">
        <f>+X33</f>
        <v>0.36</v>
      </c>
      <c r="AA33" s="252" t="str">
        <f>IFERROR(IF(AB33="","",IF(AB33&lt;=0.2,"Leve",IF(AB33&lt;=0.4,"Menor",IF(AB33&lt;=0.6,"Moderado",IF(AB33&lt;=0.8,"Mayor","Catastrófico"))))),"")</f>
        <v>Moderado</v>
      </c>
      <c r="AB33" s="250">
        <f>IFERROR(IF(Q33="Impacto",(M33-(+M33*T33)),IF(Q33="Probabilidad",M33,"")),"")</f>
        <v>0.6</v>
      </c>
      <c r="AC33" s="254"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Moderado</v>
      </c>
      <c r="AD33" s="258" t="s">
        <v>189</v>
      </c>
      <c r="AE33" s="248"/>
      <c r="AF33" s="262"/>
      <c r="AG33" s="260"/>
      <c r="AH33" s="260"/>
      <c r="AI33" s="248"/>
      <c r="AJ33" s="262"/>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row>
    <row r="34" spans="1:68" ht="99.75" customHeight="1" x14ac:dyDescent="0.25">
      <c r="A34" s="277"/>
      <c r="B34" s="278"/>
      <c r="C34" s="188" t="s">
        <v>344</v>
      </c>
      <c r="D34" s="280"/>
      <c r="E34" s="282"/>
      <c r="F34" s="278"/>
      <c r="G34" s="283"/>
      <c r="H34" s="314"/>
      <c r="I34" s="309"/>
      <c r="J34" s="315"/>
      <c r="K34" s="309">
        <f>IF(NOT(ISERROR(MATCH(J34,_xlfn.ANCHORARRAY(E41),0))),#REF!&amp;"Por favor no seleccionar los criterios de impacto",J34)</f>
        <v>0</v>
      </c>
      <c r="L34" s="314"/>
      <c r="M34" s="309"/>
      <c r="N34" s="310"/>
      <c r="O34" s="267"/>
      <c r="P34" s="265"/>
      <c r="Q34" s="269"/>
      <c r="R34" s="259"/>
      <c r="S34" s="259"/>
      <c r="T34" s="251"/>
      <c r="U34" s="259"/>
      <c r="V34" s="259"/>
      <c r="W34" s="259"/>
      <c r="X34" s="154" t="str">
        <f>IFERROR(IF(AND(Q33="Probabilidad",Q34="Probabilidad"),(Z33-(+Z33*T34)),IF(Q34="Probabilidad",(I33-(+I33*T34)),IF(Q34="Impacto",Z33,""))),"")</f>
        <v/>
      </c>
      <c r="Y34" s="253"/>
      <c r="Z34" s="251"/>
      <c r="AA34" s="253"/>
      <c r="AB34" s="251"/>
      <c r="AC34" s="255"/>
      <c r="AD34" s="259"/>
      <c r="AE34" s="249"/>
      <c r="AF34" s="263"/>
      <c r="AG34" s="261"/>
      <c r="AH34" s="261"/>
      <c r="AI34" s="249"/>
      <c r="AJ34" s="26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row>
    <row r="35" spans="1:68" ht="195.75" customHeight="1" x14ac:dyDescent="0.25">
      <c r="A35" s="170" t="s">
        <v>348</v>
      </c>
      <c r="B35" s="165" t="s">
        <v>192</v>
      </c>
      <c r="C35" s="188" t="s">
        <v>349</v>
      </c>
      <c r="D35" s="168" t="s">
        <v>350</v>
      </c>
      <c r="E35" s="169" t="s">
        <v>351</v>
      </c>
      <c r="F35" s="165" t="s">
        <v>232</v>
      </c>
      <c r="G35" s="166">
        <v>120</v>
      </c>
      <c r="H35" s="167" t="str">
        <f>IF(G35&lt;=0,"",IF(G35&lt;=2,"Muy Baja",IF(G35&lt;=24,"Baja",IF(G35&lt;=500,"Media",IF(G35&lt;=5000,"Alta","Muy Alta")))))</f>
        <v>Media</v>
      </c>
      <c r="I35" s="163">
        <f>IF(H35="","",IF(H35="Muy Baja",0.2,IF(H35="Baja",0.4,IF(H35="Media",0.6,IF(H35="Alta",0.8,IF(H35="Muy Alta",1,))))))</f>
        <v>0.6</v>
      </c>
      <c r="J35" s="171" t="s">
        <v>148</v>
      </c>
      <c r="K35" s="163" t="str">
        <f>IF(NOT(ISERROR(MATCH(J35,'Tabla Impacto'!$B$221:$B$223,0))),'Tabla Impacto'!$F$228&amp;"Por favor no seleccionar los criterios de impacto(Afectación Económica o presupuestal y Pérdida Reputacional)",J35)</f>
        <v xml:space="preserve">     El riesgo afecta la imagen de la entidad con algunos usuarios de relevancia frente al logro de los objetivos</v>
      </c>
      <c r="L35" s="167" t="str">
        <f>IF(OR(K35='Tabla Impacto'!$C$11,K35='Tabla Impacto'!$D$11),"Leve",IF(OR(K35='Tabla Impacto'!$C$12,K35='Tabla Impacto'!$D$12),"Menor",IF(OR(K35='Tabla Impacto'!$C$13,K35='Tabla Impacto'!$D$13),"Moderado",IF(OR(K35='Tabla Impacto'!$C$14,K35='Tabla Impacto'!$D$14),"Mayor",IF(OR(K35='Tabla Impacto'!$C$15,K35='Tabla Impacto'!$D$15),"Catastrófico","")))))</f>
        <v>Moderado</v>
      </c>
      <c r="M35" s="163">
        <f>IF(L35="","",IF(L35="Leve",0.2,IF(L35="Menor",0.4,IF(L35="Moderado",0.6,IF(L35="Mayor",0.8,IF(L35="Catastrófico",1,))))))</f>
        <v>0.6</v>
      </c>
      <c r="N35" s="164" t="str">
        <f>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Moderado</v>
      </c>
      <c r="O35" s="4">
        <v>1</v>
      </c>
      <c r="P35" s="188" t="s">
        <v>352</v>
      </c>
      <c r="Q35" s="189" t="str">
        <f>IF(OR(R35="Preventivo",R35="Detectivo"),"Probabilidad",IF(R35="Correctivo","Impacto",""))</f>
        <v>Probabilidad</v>
      </c>
      <c r="R35" s="190" t="s">
        <v>164</v>
      </c>
      <c r="S35" s="190" t="s">
        <v>172</v>
      </c>
      <c r="T35" s="191" t="str">
        <f>IF(AND(R35="Preventivo",S35="Automático"),"50%",IF(AND(R35="Preventivo",S35="Manual"),"40%",IF(AND(R35="Detectivo",S35="Automático"),"40%",IF(AND(R35="Detectivo",S35="Manual"),"30%",IF(AND(R35="Correctivo",S35="Automático"),"35%",IF(AND(R35="Correctivo",S35="Manual"),"25%",""))))))</f>
        <v>40%</v>
      </c>
      <c r="U35" s="190" t="s">
        <v>175</v>
      </c>
      <c r="V35" s="190" t="s">
        <v>180</v>
      </c>
      <c r="W35" s="190" t="s">
        <v>184</v>
      </c>
      <c r="X35" s="154">
        <f t="shared" ref="X35:X40" si="5">IFERROR(IF(Q35="Probabilidad",(I35-(+I35*T35)),IF(Q35="Impacto",I35,"")),"")</f>
        <v>0.36</v>
      </c>
      <c r="Y35" s="192" t="str">
        <f>IFERROR(IF(X35="","",IF(X35&lt;=0.2,"Muy Baja",IF(X35&lt;=0.4,"Baja",IF(X35&lt;=0.6,"Media",IF(X35&lt;=0.8,"Alta","Muy Alta"))))),"")</f>
        <v>Baja</v>
      </c>
      <c r="Z35" s="160">
        <f>+X35</f>
        <v>0.36</v>
      </c>
      <c r="AA35" s="192" t="str">
        <f>IFERROR(IF(AB35="","",IF(AB35&lt;=0.2,"Leve",IF(AB35&lt;=0.4,"Menor",IF(AB35&lt;=0.6,"Moderado",IF(AB35&lt;=0.8,"Mayor","Catastrófico"))))),"")</f>
        <v>Moderado</v>
      </c>
      <c r="AB35" s="160">
        <f>IFERROR(IF(Q35="Impacto",(M35-(+M35*T35)),IF(Q35="Probabilidad",M35,"")),"")</f>
        <v>0.6</v>
      </c>
      <c r="AC35" s="193"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Moderado</v>
      </c>
      <c r="AD35" s="203" t="s">
        <v>189</v>
      </c>
      <c r="AF35" s="195"/>
      <c r="AG35" s="196"/>
      <c r="AH35" s="196"/>
      <c r="AI35" s="194"/>
      <c r="AJ35" s="195"/>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row>
    <row r="36" spans="1:68" ht="118.5" customHeight="1" x14ac:dyDescent="0.25">
      <c r="A36" s="170" t="s">
        <v>353</v>
      </c>
      <c r="B36" s="165" t="s">
        <v>192</v>
      </c>
      <c r="C36" s="202" t="s">
        <v>354</v>
      </c>
      <c r="D36" s="168" t="s">
        <v>355</v>
      </c>
      <c r="E36" s="169" t="s">
        <v>356</v>
      </c>
      <c r="F36" s="165" t="s">
        <v>232</v>
      </c>
      <c r="G36" s="166">
        <v>25</v>
      </c>
      <c r="H36" s="167" t="str">
        <f>IF(G36&lt;=0,"",IF(G36&lt;=2,"Muy Baja",IF(G36&lt;=24,"Baja",IF(G36&lt;=500,"Media",IF(G36&lt;=5000,"Alta","Muy Alta")))))</f>
        <v>Media</v>
      </c>
      <c r="I36" s="163">
        <f>IF(H36="","",IF(H36="Muy Baja",0.2,IF(H36="Baja",0.4,IF(H36="Media",0.6,IF(H36="Alta",0.8,IF(H36="Muy Alta",1,))))))</f>
        <v>0.6</v>
      </c>
      <c r="J36" s="171" t="s">
        <v>148</v>
      </c>
      <c r="K36" s="163" t="str">
        <f>IF(NOT(ISERROR(MATCH(J36,'Tabla Impacto'!$B$221:$B$223,0))),'Tabla Impacto'!$F$228&amp;"Por favor no seleccionar los criterios de impacto(Afectación Económica o presupuestal y Pérdida Reputacional)",J36)</f>
        <v xml:space="preserve">     El riesgo afecta la imagen de la entidad con algunos usuarios de relevancia frente al logro de los objetivos</v>
      </c>
      <c r="L36" s="167" t="str">
        <f>IF(OR(K36='Tabla Impacto'!$C$11,K36='Tabla Impacto'!$D$11),"Leve",IF(OR(K36='Tabla Impacto'!$C$12,K36='Tabla Impacto'!$D$12),"Menor",IF(OR(K36='Tabla Impacto'!$C$13,K36='Tabla Impacto'!$D$13),"Moderado",IF(OR(K36='Tabla Impacto'!$C$14,K36='Tabla Impacto'!$D$14),"Mayor",IF(OR(K36='Tabla Impacto'!$C$15,K36='Tabla Impacto'!$D$15),"Catastrófico","")))))</f>
        <v>Moderado</v>
      </c>
      <c r="M36" s="163">
        <f>IF(L36="","",IF(L36="Leve",0.2,IF(L36="Menor",0.4,IF(L36="Moderado",0.6,IF(L36="Mayor",0.8,IF(L36="Catastrófico",1,))))))</f>
        <v>0.6</v>
      </c>
      <c r="N36" s="164"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Moderado</v>
      </c>
      <c r="O36" s="162">
        <v>1</v>
      </c>
      <c r="P36" s="201" t="s">
        <v>357</v>
      </c>
      <c r="Q36" s="189" t="str">
        <f>IF(OR(R36="Preventivo",R36="Detectivo"),"Probabilidad",IF(R36="Correctivo","Impacto",""))</f>
        <v>Probabilidad</v>
      </c>
      <c r="R36" s="161" t="s">
        <v>164</v>
      </c>
      <c r="S36" s="190" t="s">
        <v>172</v>
      </c>
      <c r="T36" s="191" t="str">
        <f>IF(AND(R36="Preventivo",S36="Automático"),"50%",IF(AND(R36="Preventivo",S36="Manual"),"40%",IF(AND(R36="Detectivo",S36="Automático"),"40%",IF(AND(R36="Detectivo",S36="Manual"),"30%",IF(AND(R36="Correctivo",S36="Automático"),"35%",IF(AND(R36="Correctivo",S36="Manual"),"25%",""))))))</f>
        <v>40%</v>
      </c>
      <c r="U36" s="190" t="s">
        <v>175</v>
      </c>
      <c r="V36" s="190" t="s">
        <v>180</v>
      </c>
      <c r="W36" s="190" t="s">
        <v>184</v>
      </c>
      <c r="X36" s="154">
        <f t="shared" si="5"/>
        <v>0.36</v>
      </c>
      <c r="Y36" s="192" t="str">
        <f>IFERROR(IF(X36="","",IF(X36&lt;=0.2,"Muy Baja",IF(X36&lt;=0.4,"Baja",IF(X36&lt;=0.6,"Media",IF(X36&lt;=0.8,"Alta","Muy Alta"))))),"")</f>
        <v>Baja</v>
      </c>
      <c r="Z36" s="160">
        <f>+X36</f>
        <v>0.36</v>
      </c>
      <c r="AA36" s="192" t="str">
        <f>IFERROR(IF(AB36="","",IF(AB36&lt;=0.2,"Leve",IF(AB36&lt;=0.4,"Menor",IF(AB36&lt;=0.6,"Moderado",IF(AB36&lt;=0.8,"Mayor","Catastrófico"))))),"")</f>
        <v>Moderado</v>
      </c>
      <c r="AB36" s="160">
        <f>IFERROR(IF(Q36="Impacto",(M36-(+M36*T36)),IF(Q36="Probabilidad",M36,"")),"")</f>
        <v>0.6</v>
      </c>
      <c r="AC36" s="19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Moderado</v>
      </c>
      <c r="AD36" s="203" t="s">
        <v>189</v>
      </c>
      <c r="AE36" s="165"/>
      <c r="AF36" s="166"/>
      <c r="AG36" s="198"/>
      <c r="AH36" s="198"/>
      <c r="AI36" s="165"/>
      <c r="AJ36" s="166"/>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row>
    <row r="37" spans="1:68" ht="60.75" customHeight="1" x14ac:dyDescent="0.25">
      <c r="A37" s="276" t="s">
        <v>358</v>
      </c>
      <c r="B37" s="248" t="s">
        <v>230</v>
      </c>
      <c r="C37" s="201" t="s">
        <v>359</v>
      </c>
      <c r="D37" s="279" t="s">
        <v>361</v>
      </c>
      <c r="E37" s="281" t="s">
        <v>362</v>
      </c>
      <c r="F37" s="248" t="s">
        <v>235</v>
      </c>
      <c r="G37" s="262">
        <v>25</v>
      </c>
      <c r="H37" s="270" t="str">
        <f t="shared" ref="H37:H41" si="6">IF(G37&lt;=0,"",IF(G37&lt;=2,"Muy Baja",IF(G37&lt;=24,"Baja",IF(G37&lt;=500,"Media",IF(G37&lt;=5000,"Alta","Muy Alta")))))</f>
        <v>Media</v>
      </c>
      <c r="I37" s="272">
        <f>IF(H37="","",IF(H37="Muy Baja",0.2,IF(H37="Baja",0.4,IF(H37="Media",0.6,IF(H37="Alta",0.8,IF(H37="Muy Alta",1,))))))</f>
        <v>0.6</v>
      </c>
      <c r="J37" s="284" t="s">
        <v>148</v>
      </c>
      <c r="K37" s="163" t="str">
        <f>IF(NOT(ISERROR(MATCH(J37,'Tabla Impacto'!$B$221:$B$223,0))),'Tabla Impacto'!$F$228&amp;"Por favor no seleccionar los criterios de impacto(Afectación Económica o presupuestal y Pérdida Reputacional)",J37)</f>
        <v xml:space="preserve">     El riesgo afecta la imagen de la entidad con algunos usuarios de relevancia frente al logro de los objetivos</v>
      </c>
      <c r="L37" s="270" t="str">
        <f>IF(OR(K37='Tabla Impacto'!$C$11,K37='Tabla Impacto'!$D$11),"Leve",IF(OR(K37='Tabla Impacto'!$C$12,K37='Tabla Impacto'!$D$12),"Menor",IF(OR(K37='Tabla Impacto'!$C$13,K37='Tabla Impacto'!$D$13),"Moderado",IF(OR(K37='Tabla Impacto'!$C$14,K37='Tabla Impacto'!$D$14),"Mayor",IF(OR(K37='Tabla Impacto'!$C$15,K37='Tabla Impacto'!$D$15),"Catastrófico","")))))</f>
        <v>Moderado</v>
      </c>
      <c r="M37" s="272">
        <f>IF(L37="","",IF(L37="Leve",0.2,IF(L37="Menor",0.4,IF(L37="Moderado",0.6,IF(L37="Mayor",0.8,IF(L37="Catastrófico",1,))))))</f>
        <v>0.6</v>
      </c>
      <c r="N37" s="274"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Moderado</v>
      </c>
      <c r="O37" s="266">
        <v>1</v>
      </c>
      <c r="P37" s="264" t="s">
        <v>363</v>
      </c>
      <c r="Q37" s="268" t="str">
        <f>IF(OR(R37="Preventivo",R37="Detectivo"),"Probabilidad",IF(R37="Correctivo","Impacto",""))</f>
        <v>Probabilidad</v>
      </c>
      <c r="R37" s="258" t="s">
        <v>166</v>
      </c>
      <c r="S37" s="258" t="s">
        <v>172</v>
      </c>
      <c r="T37" s="250" t="str">
        <f>IF(AND(R37="Preventivo",S37="Automático"),"50%",IF(AND(R37="Preventivo",S37="Manual"),"40%",IF(AND(R37="Detectivo",S37="Automático"),"40%",IF(AND(R37="Detectivo",S37="Manual"),"30%",IF(AND(R37="Correctivo",S37="Automático"),"35%",IF(AND(R37="Correctivo",S37="Manual"),"25%",""))))))</f>
        <v>30%</v>
      </c>
      <c r="U37" s="258" t="s">
        <v>175</v>
      </c>
      <c r="V37" s="258" t="s">
        <v>180</v>
      </c>
      <c r="W37" s="258" t="s">
        <v>184</v>
      </c>
      <c r="X37" s="154">
        <f t="shared" si="5"/>
        <v>0.42</v>
      </c>
      <c r="Y37" s="252" t="str">
        <f>IFERROR(IF(X37="","",IF(X37&lt;=0.2,"Muy Baja",IF(X37&lt;=0.4,"Baja",IF(X37&lt;=0.6,"Media",IF(X37&lt;=0.8,"Alta","Muy Alta"))))),"")</f>
        <v>Media</v>
      </c>
      <c r="Z37" s="250">
        <f>+X37</f>
        <v>0.42</v>
      </c>
      <c r="AA37" s="252" t="str">
        <f>IFERROR(IF(AB37="","",IF(AB37&lt;=0.2,"Leve",IF(AB37&lt;=0.4,"Menor",IF(AB37&lt;=0.6,"Moderado",IF(AB37&lt;=0.8,"Mayor","Catastrófico"))))),"")</f>
        <v>Moderado</v>
      </c>
      <c r="AB37" s="250">
        <f>IFERROR(IF(Q37="Impacto",(M37-(+M37*T37)),IF(Q37="Probabilidad",M37,"")),"")</f>
        <v>0.6</v>
      </c>
      <c r="AC37" s="254"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Moderado</v>
      </c>
      <c r="AD37" s="256" t="s">
        <v>189</v>
      </c>
      <c r="AE37" s="248"/>
      <c r="AF37" s="248"/>
      <c r="AG37" s="248"/>
      <c r="AH37" s="248"/>
      <c r="AI37" s="248"/>
      <c r="AJ37" s="248"/>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row>
    <row r="38" spans="1:68" ht="81" customHeight="1" x14ac:dyDescent="0.25">
      <c r="A38" s="277"/>
      <c r="B38" s="278"/>
      <c r="C38" s="201" t="s">
        <v>360</v>
      </c>
      <c r="D38" s="280"/>
      <c r="E38" s="282"/>
      <c r="F38" s="278"/>
      <c r="G38" s="263"/>
      <c r="H38" s="271"/>
      <c r="I38" s="273"/>
      <c r="J38" s="285"/>
      <c r="K38" s="163"/>
      <c r="L38" s="271"/>
      <c r="M38" s="273"/>
      <c r="N38" s="275"/>
      <c r="O38" s="267"/>
      <c r="P38" s="265"/>
      <c r="Q38" s="269"/>
      <c r="R38" s="259"/>
      <c r="S38" s="259"/>
      <c r="T38" s="251"/>
      <c r="U38" s="259"/>
      <c r="V38" s="259"/>
      <c r="W38" s="259"/>
      <c r="X38" s="154" t="str">
        <f t="shared" si="5"/>
        <v/>
      </c>
      <c r="Y38" s="253"/>
      <c r="Z38" s="251"/>
      <c r="AA38" s="253"/>
      <c r="AB38" s="251"/>
      <c r="AC38" s="255"/>
      <c r="AD38" s="257"/>
      <c r="AE38" s="249"/>
      <c r="AF38" s="249"/>
      <c r="AG38" s="249"/>
      <c r="AH38" s="249"/>
      <c r="AI38" s="249"/>
      <c r="AJ38" s="249"/>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row>
    <row r="39" spans="1:68" ht="83.25" customHeight="1" x14ac:dyDescent="0.25">
      <c r="A39" s="276" t="s">
        <v>364</v>
      </c>
      <c r="B39" s="248" t="s">
        <v>192</v>
      </c>
      <c r="C39" s="201" t="s">
        <v>365</v>
      </c>
      <c r="D39" s="279" t="s">
        <v>367</v>
      </c>
      <c r="E39" s="281" t="s">
        <v>368</v>
      </c>
      <c r="F39" s="248" t="s">
        <v>232</v>
      </c>
      <c r="G39" s="262">
        <v>45</v>
      </c>
      <c r="H39" s="270" t="str">
        <f t="shared" si="6"/>
        <v>Media</v>
      </c>
      <c r="I39" s="272">
        <f>IF(H39="","",IF(H39="Muy Baja",0.2,IF(H39="Baja",0.4,IF(H39="Media",0.6,IF(H39="Alta",0.8,IF(H39="Muy Alta",1,))))))</f>
        <v>0.6</v>
      </c>
      <c r="J39" s="284" t="s">
        <v>148</v>
      </c>
      <c r="K39" s="163" t="str">
        <f>IF(NOT(ISERROR(MATCH(J39,'Tabla Impacto'!$B$221:$B$223,0))),'Tabla Impacto'!$F$228&amp;"Por favor no seleccionar los criterios de impacto(Afectación Económica o presupuestal y Pérdida Reputacional)",J39)</f>
        <v xml:space="preserve">     El riesgo afecta la imagen de la entidad con algunos usuarios de relevancia frente al logro de los objetivos</v>
      </c>
      <c r="L39" s="270" t="str">
        <f>IF(OR(K39='Tabla Impacto'!$C$11,K39='Tabla Impacto'!$D$11),"Leve",IF(OR(K39='Tabla Impacto'!$C$12,K39='Tabla Impacto'!$D$12),"Menor",IF(OR(K39='Tabla Impacto'!$C$13,K39='Tabla Impacto'!$D$13),"Moderado",IF(OR(K39='Tabla Impacto'!$C$14,K39='Tabla Impacto'!$D$14),"Mayor",IF(OR(K39='Tabla Impacto'!$C$15,K39='Tabla Impacto'!$D$15),"Catastrófico","")))))</f>
        <v>Moderado</v>
      </c>
      <c r="M39" s="272">
        <f>IF(L39="","",IF(L39="Leve",0.2,IF(L39="Menor",0.4,IF(L39="Moderado",0.6,IF(L39="Mayor",0.8,IF(L39="Catastrófico",1,))))))</f>
        <v>0.6</v>
      </c>
      <c r="N39" s="274" t="str">
        <f>IF(OR(AND(H39="Muy Baja",L39="Leve"),AND(H39="Muy Baja",L39="Menor"),AND(H39="Baja",L39="Leve")),"Bajo",IF(OR(AND(H39="Muy baja",L39="Moderado"),AND(H39="Baja",L39="Menor"),AND(H39="Baja",L39="Moderado"),AND(H39="Media",L39="Leve"),AND(H39="Media",L39="Menor"),AND(H39="Media",L39="Moderado"),AND(H39="Alta",L39="Leve"),AND(H39="Alta",L39="Menor")),"Moderado",IF(OR(AND(H39="Muy Baja",L39="Mayor"),AND(H39="Baja",L39="Mayor"),AND(H39="Media",L39="Mayor"),AND(H39="Alta",L39="Moderado"),AND(H39="Alta",L39="Mayor"),AND(H39="Muy Alta",L39="Leve"),AND(H39="Muy Alta",L39="Menor"),AND(H39="Muy Alta",L39="Moderado"),AND(H39="Muy Alta",L39="Mayor")),"Alto",IF(OR(AND(H39="Muy Baja",L39="Catastrófico"),AND(H39="Baja",L39="Catastrófico"),AND(H39="Media",L39="Catastrófico"),AND(H39="Alta",L39="Catastrófico"),AND(H39="Muy Alta",L39="Catastrófico")),"Extremo",""))))</f>
        <v>Moderado</v>
      </c>
      <c r="O39" s="266">
        <v>1</v>
      </c>
      <c r="P39" s="264" t="s">
        <v>369</v>
      </c>
      <c r="Q39" s="268" t="str">
        <f>IF(OR(R39="Preventivo",R39="Detectivo"),"Probabilidad",IF(R39="Correctivo","Impacto",""))</f>
        <v>Probabilidad</v>
      </c>
      <c r="R39" s="258" t="s">
        <v>164</v>
      </c>
      <c r="S39" s="258" t="s">
        <v>172</v>
      </c>
      <c r="T39" s="250" t="str">
        <f>IF(AND(R39="Preventivo",S39="Automático"),"50%",IF(AND(R39="Preventivo",S39="Manual"),"40%",IF(AND(R39="Detectivo",S39="Automático"),"40%",IF(AND(R39="Detectivo",S39="Manual"),"30%",IF(AND(R39="Correctivo",S39="Automático"),"35%",IF(AND(R39="Correctivo",S39="Manual"),"25%",""))))))</f>
        <v>40%</v>
      </c>
      <c r="U39" s="258" t="s">
        <v>175</v>
      </c>
      <c r="V39" s="258" t="s">
        <v>180</v>
      </c>
      <c r="W39" s="258" t="s">
        <v>184</v>
      </c>
      <c r="X39" s="154">
        <f t="shared" si="5"/>
        <v>0.36</v>
      </c>
      <c r="Y39" s="252" t="str">
        <f>IFERROR(IF(X39="","",IF(X39&lt;=0.2,"Muy Baja",IF(X39&lt;=0.4,"Baja",IF(X39&lt;=0.6,"Media",IF(X39&lt;=0.8,"Alta","Muy Alta"))))),"")</f>
        <v>Baja</v>
      </c>
      <c r="Z39" s="250">
        <f>+X39</f>
        <v>0.36</v>
      </c>
      <c r="AA39" s="252" t="str">
        <f>IFERROR(IF(AB39="","",IF(AB39&lt;=0.2,"Leve",IF(AB39&lt;=0.4,"Menor",IF(AB39&lt;=0.6,"Moderado",IF(AB39&lt;=0.8,"Mayor","Catastrófico"))))),"")</f>
        <v>Moderado</v>
      </c>
      <c r="AB39" s="250">
        <f>IFERROR(IF(Q39="Impacto",(M39-(+M39*T39)),IF(Q39="Probabilidad",M39,"")),"")</f>
        <v>0.6</v>
      </c>
      <c r="AC39" s="254"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Moderado</v>
      </c>
      <c r="AD39" s="256" t="s">
        <v>189</v>
      </c>
      <c r="AE39" s="248"/>
      <c r="AF39" s="248"/>
      <c r="AG39" s="248"/>
      <c r="AH39" s="248"/>
      <c r="AI39" s="248"/>
      <c r="AJ39" s="248"/>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row>
    <row r="40" spans="1:68" ht="78.75" customHeight="1" x14ac:dyDescent="0.25">
      <c r="A40" s="277"/>
      <c r="B40" s="278"/>
      <c r="C40" s="201" t="s">
        <v>366</v>
      </c>
      <c r="D40" s="280"/>
      <c r="E40" s="282"/>
      <c r="F40" s="278"/>
      <c r="G40" s="283"/>
      <c r="H40" s="271"/>
      <c r="I40" s="273"/>
      <c r="J40" s="285"/>
      <c r="K40" s="163">
        <f>IF(NOT(ISERROR(MATCH(J40,'Tabla Impacto'!$B$221:$B$223,0))),'Tabla Impacto'!$F$228&amp;"Por favor no seleccionar los criterios de impacto(Afectación Económica o presupuestal y Pérdida Reputacional)",J40)</f>
        <v>0</v>
      </c>
      <c r="L40" s="271"/>
      <c r="M40" s="273"/>
      <c r="N40" s="275"/>
      <c r="O40" s="267"/>
      <c r="P40" s="265"/>
      <c r="Q40" s="269"/>
      <c r="R40" s="259"/>
      <c r="S40" s="259"/>
      <c r="T40" s="251"/>
      <c r="U40" s="259"/>
      <c r="V40" s="259"/>
      <c r="W40" s="259"/>
      <c r="X40" s="154" t="str">
        <f t="shared" si="5"/>
        <v/>
      </c>
      <c r="Y40" s="253"/>
      <c r="Z40" s="251"/>
      <c r="AA40" s="253"/>
      <c r="AB40" s="251"/>
      <c r="AC40" s="255"/>
      <c r="AD40" s="257"/>
      <c r="AE40" s="249"/>
      <c r="AF40" s="249"/>
      <c r="AG40" s="249"/>
      <c r="AH40" s="249"/>
      <c r="AI40" s="249"/>
      <c r="AJ40" s="249"/>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row>
    <row r="41" spans="1:68" ht="116.25" customHeight="1" x14ac:dyDescent="0.25">
      <c r="A41" s="276" t="s">
        <v>370</v>
      </c>
      <c r="B41" s="248" t="s">
        <v>192</v>
      </c>
      <c r="C41" s="201" t="s">
        <v>371</v>
      </c>
      <c r="D41" s="279" t="s">
        <v>373</v>
      </c>
      <c r="E41" s="281" t="s">
        <v>374</v>
      </c>
      <c r="F41" s="248" t="s">
        <v>232</v>
      </c>
      <c r="G41" s="262">
        <v>30</v>
      </c>
      <c r="H41" s="270" t="str">
        <f t="shared" si="6"/>
        <v>Media</v>
      </c>
      <c r="I41" s="272">
        <f>IF(H41="","",IF(H41="Muy Baja",0.2,IF(H41="Baja",0.4,IF(H41="Media",0.6,IF(H41="Alta",0.8,IF(H41="Muy Alta",1,))))))</f>
        <v>0.6</v>
      </c>
      <c r="J41" s="284" t="s">
        <v>148</v>
      </c>
      <c r="K41" s="163" t="str">
        <f>IF(NOT(ISERROR(MATCH(J41,'Tabla Impacto'!$B$221:$B$223,0))),'Tabla Impacto'!$F$228&amp;"Por favor no seleccionar los criterios de impacto(Afectación Económica o presupuestal y Pérdida Reputacional)",J41)</f>
        <v xml:space="preserve">     El riesgo afecta la imagen de la entidad con algunos usuarios de relevancia frente al logro de los objetivos</v>
      </c>
      <c r="L41" s="270" t="str">
        <f>IF(OR(K41='Tabla Impacto'!$C$11,K41='Tabla Impacto'!$D$11),"Leve",IF(OR(K41='Tabla Impacto'!$C$12,K41='Tabla Impacto'!$D$12),"Menor",IF(OR(K41='Tabla Impacto'!$C$13,K41='Tabla Impacto'!$D$13),"Moderado",IF(OR(K41='Tabla Impacto'!$C$14,K41='Tabla Impacto'!$D$14),"Mayor",IF(OR(K41='Tabla Impacto'!$C$15,K41='Tabla Impacto'!$D$15),"Catastrófico","")))))</f>
        <v>Moderado</v>
      </c>
      <c r="M41" s="272">
        <f>IF(L41="","",IF(L41="Leve",0.2,IF(L41="Menor",0.4,IF(L41="Moderado",0.6,IF(L41="Mayor",0.8,IF(L41="Catastrófico",1,))))))</f>
        <v>0.6</v>
      </c>
      <c r="N41" s="274" t="str">
        <f>IF(OR(AND(H41="Muy Baja",L41="Leve"),AND(H41="Muy Baja",L41="Menor"),AND(H41="Baja",L41="Leve")),"Bajo",IF(OR(AND(H41="Muy baja",L41="Moderado"),AND(H41="Baja",L41="Menor"),AND(H41="Baja",L41="Moderado"),AND(H41="Media",L41="Leve"),AND(H41="Media",L41="Menor"),AND(H41="Media",L41="Moderado"),AND(H41="Alta",L41="Leve"),AND(H41="Alta",L41="Menor")),"Moderado",IF(OR(AND(H41="Muy Baja",L41="Mayor"),AND(H41="Baja",L41="Mayor"),AND(H41="Media",L41="Mayor"),AND(H41="Alta",L41="Moderado"),AND(H41="Alta",L41="Mayor"),AND(H41="Muy Alta",L41="Leve"),AND(H41="Muy Alta",L41="Menor"),AND(H41="Muy Alta",L41="Moderado"),AND(H41="Muy Alta",L41="Mayor")),"Alto",IF(OR(AND(H41="Muy Baja",L41="Catastrófico"),AND(H41="Baja",L41="Catastrófico"),AND(H41="Media",L41="Catastrófico"),AND(H41="Alta",L41="Catastrófico"),AND(H41="Muy Alta",L41="Catastrófico")),"Extremo",""))))</f>
        <v>Moderado</v>
      </c>
      <c r="O41" s="266">
        <v>1</v>
      </c>
      <c r="P41" s="264" t="s">
        <v>375</v>
      </c>
      <c r="Q41" s="268" t="str">
        <f>IF(OR(R41="Preventivo",R41="Detectivo"),"Probabilidad",IF(R41="Correctivo","Impacto",""))</f>
        <v>Probabilidad</v>
      </c>
      <c r="R41" s="258" t="s">
        <v>164</v>
      </c>
      <c r="S41" s="258" t="s">
        <v>172</v>
      </c>
      <c r="T41" s="250" t="str">
        <f>IF(AND(R41="Preventivo",S41="Automático"),"50%",IF(AND(R41="Preventivo",S41="Manual"),"40%",IF(AND(R41="Detectivo",S41="Automático"),"40%",IF(AND(R41="Detectivo",S41="Manual"),"30%",IF(AND(R41="Correctivo",S41="Automático"),"35%",IF(AND(R41="Correctivo",S41="Manual"),"25%",""))))))</f>
        <v>40%</v>
      </c>
      <c r="U41" s="258" t="s">
        <v>175</v>
      </c>
      <c r="V41" s="258" t="s">
        <v>180</v>
      </c>
      <c r="W41" s="258" t="s">
        <v>184</v>
      </c>
      <c r="X41" s="154">
        <f t="shared" ref="X41:X42" si="7">IFERROR(IF(Q41="Probabilidad",(I41-(+I41*T41)),IF(Q41="Impacto",I41,"")),"")</f>
        <v>0.36</v>
      </c>
      <c r="Y41" s="252" t="str">
        <f>IFERROR(IF(X41="","",IF(X41&lt;=0.2,"Muy Baja",IF(X41&lt;=0.4,"Baja",IF(X41&lt;=0.6,"Media",IF(X41&lt;=0.8,"Alta","Muy Alta"))))),"")</f>
        <v>Baja</v>
      </c>
      <c r="Z41" s="250">
        <f>+X41</f>
        <v>0.36</v>
      </c>
      <c r="AA41" s="252" t="str">
        <f>IFERROR(IF(AB41="","",IF(AB41&lt;=0.2,"Leve",IF(AB41&lt;=0.4,"Menor",IF(AB41&lt;=0.6,"Moderado",IF(AB41&lt;=0.8,"Mayor","Catastrófico"))))),"")</f>
        <v>Moderado</v>
      </c>
      <c r="AB41" s="250">
        <f>IFERROR(IF(Q41="Impacto",(M41-(+M41*T41)),IF(Q41="Probabilidad",M41,"")),"")</f>
        <v>0.6</v>
      </c>
      <c r="AC41" s="254"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Moderado</v>
      </c>
      <c r="AD41" s="256" t="s">
        <v>189</v>
      </c>
      <c r="AE41" s="248"/>
      <c r="AF41" s="248"/>
      <c r="AG41" s="248"/>
      <c r="AH41" s="248"/>
      <c r="AI41" s="248"/>
      <c r="AJ41" s="248"/>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row>
    <row r="42" spans="1:68" ht="125.25" customHeight="1" x14ac:dyDescent="0.25">
      <c r="A42" s="277"/>
      <c r="B42" s="278"/>
      <c r="C42" s="201" t="s">
        <v>372</v>
      </c>
      <c r="D42" s="280"/>
      <c r="E42" s="282"/>
      <c r="F42" s="278"/>
      <c r="G42" s="283"/>
      <c r="H42" s="271"/>
      <c r="I42" s="273"/>
      <c r="J42" s="285"/>
      <c r="K42" s="163"/>
      <c r="L42" s="271"/>
      <c r="M42" s="273"/>
      <c r="N42" s="275"/>
      <c r="O42" s="267"/>
      <c r="P42" s="265"/>
      <c r="Q42" s="269"/>
      <c r="R42" s="259"/>
      <c r="S42" s="259"/>
      <c r="T42" s="251"/>
      <c r="U42" s="259"/>
      <c r="V42" s="259"/>
      <c r="W42" s="259"/>
      <c r="X42" s="154" t="str">
        <f t="shared" si="7"/>
        <v/>
      </c>
      <c r="Y42" s="253"/>
      <c r="Z42" s="251"/>
      <c r="AA42" s="253"/>
      <c r="AB42" s="251"/>
      <c r="AC42" s="255"/>
      <c r="AD42" s="257"/>
      <c r="AE42" s="249"/>
      <c r="AF42" s="249"/>
      <c r="AG42" s="249"/>
      <c r="AH42" s="249"/>
      <c r="AI42" s="249"/>
      <c r="AJ42" s="249"/>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row>
    <row r="43" spans="1:68" ht="18" hidden="1" customHeight="1" x14ac:dyDescent="0.25">
      <c r="A43" s="266">
        <v>8</v>
      </c>
      <c r="B43" s="248"/>
      <c r="C43" s="248"/>
      <c r="D43" s="248"/>
      <c r="E43" s="311"/>
      <c r="F43" s="248"/>
      <c r="G43" s="262"/>
      <c r="H43" s="270" t="str">
        <f>IF(G43&lt;=0,"",IF(G43&lt;=2,"Muy Baja",IF(G43&lt;=24,"Baja",IF(G43&lt;=500,"Media",IF(G43&lt;=5000,"Alta","Muy Alta")))))</f>
        <v/>
      </c>
      <c r="I43" s="272" t="str">
        <f>IF(H43="","",IF(H43="Muy Baja",0.2,IF(H43="Baja",0.4,IF(H43="Media",0.6,IF(H43="Alta",0.8,IF(H43="Muy Alta",1,))))))</f>
        <v/>
      </c>
      <c r="J43" s="284"/>
      <c r="K43" s="272">
        <f>IF(NOT(ISERROR(MATCH(J43,'Tabla Impacto'!$B$221:$B$223,0))),'Tabla Impacto'!$F$228&amp;"Por favor no seleccionar los criterios de impacto(Afectación Económica o presupuestal y Pérdida Reputacional)",J43)</f>
        <v>0</v>
      </c>
      <c r="L43" s="270" t="str">
        <f>IF(OR(K43='Tabla Impacto'!$C$11,K43='Tabla Impacto'!$D$11),"Leve",IF(OR(K43='Tabla Impacto'!$C$12,K43='Tabla Impacto'!$D$12),"Menor",IF(OR(K43='Tabla Impacto'!$C$13,K43='Tabla Impacto'!$D$13),"Moderado",IF(OR(K43='Tabla Impacto'!$C$14,K43='Tabla Impacto'!$D$14),"Mayor",IF(OR(K43='Tabla Impacto'!$C$15,K43='Tabla Impacto'!$D$15),"Catastrófico","")))))</f>
        <v/>
      </c>
      <c r="M43" s="272" t="str">
        <f>IF(L43="","",IF(L43="Leve",0.2,IF(L43="Menor",0.4,IF(L43="Moderado",0.6,IF(L43="Mayor",0.8,IF(L43="Catastrófico",1,))))))</f>
        <v/>
      </c>
      <c r="N43" s="274" t="str">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
      </c>
      <c r="O43" s="4">
        <v>1</v>
      </c>
      <c r="P43" s="188"/>
      <c r="Q43" s="189" t="str">
        <f>IF(OR(R43="Preventivo",R43="Detectivo"),"Probabilidad",IF(R43="Correctivo","Impacto",""))</f>
        <v/>
      </c>
      <c r="R43" s="190"/>
      <c r="S43" s="190"/>
      <c r="T43" s="191" t="str">
        <f>IF(AND(R43="Preventivo",S43="Automático"),"50%",IF(AND(R43="Preventivo",S43="Manual"),"40%",IF(AND(R43="Detectivo",S43="Automático"),"40%",IF(AND(R43="Detectivo",S43="Manual"),"30%",IF(AND(R43="Correctivo",S43="Automático"),"35%",IF(AND(R43="Correctivo",S43="Manual"),"25%",""))))))</f>
        <v/>
      </c>
      <c r="U43" s="190"/>
      <c r="V43" s="190"/>
      <c r="W43" s="190"/>
      <c r="X43" s="154" t="str">
        <f>IFERROR(IF(Q43="Probabilidad",(I43-(+I43*T43)),IF(Q43="Impacto",I43,"")),"")</f>
        <v/>
      </c>
      <c r="Y43" s="192" t="str">
        <f>IFERROR(IF(X43="","",IF(X43&lt;=0.2,"Muy Baja",IF(X43&lt;=0.4,"Baja",IF(X43&lt;=0.6,"Media",IF(X43&lt;=0.8,"Alta","Muy Alta"))))),"")</f>
        <v/>
      </c>
      <c r="Z43" s="160" t="str">
        <f>+X43</f>
        <v/>
      </c>
      <c r="AA43" s="192" t="str">
        <f>IFERROR(IF(AB43="","",IF(AB43&lt;=0.2,"Leve",IF(AB43&lt;=0.4,"Menor",IF(AB43&lt;=0.6,"Moderado",IF(AB43&lt;=0.8,"Mayor","Catastrófico"))))),"")</f>
        <v/>
      </c>
      <c r="AB43" s="160" t="str">
        <f>IFERROR(IF(Q43="Impacto",(M43-(+M43*T43)),IF(Q43="Probabilidad",M43,"")),"")</f>
        <v/>
      </c>
      <c r="AC43" s="19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61"/>
      <c r="AE43" s="194"/>
      <c r="AF43" s="195"/>
      <c r="AG43" s="196"/>
      <c r="AH43" s="196"/>
      <c r="AI43" s="194"/>
      <c r="AJ43" s="195"/>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row>
    <row r="44" spans="1:68" ht="18" hidden="1" customHeight="1" x14ac:dyDescent="0.25">
      <c r="A44" s="277"/>
      <c r="B44" s="278"/>
      <c r="C44" s="278"/>
      <c r="D44" s="278"/>
      <c r="E44" s="312"/>
      <c r="F44" s="278"/>
      <c r="G44" s="283"/>
      <c r="H44" s="314"/>
      <c r="I44" s="309"/>
      <c r="J44" s="315"/>
      <c r="K44" s="309">
        <f>IF(NOT(ISERROR(MATCH(J44,_xlfn.ANCHORARRAY(E55),0))),I57&amp;"Por favor no seleccionar los criterios de impacto",J44)</f>
        <v>0</v>
      </c>
      <c r="L44" s="314"/>
      <c r="M44" s="309"/>
      <c r="N44" s="310"/>
      <c r="O44" s="4">
        <v>2</v>
      </c>
      <c r="P44" s="188"/>
      <c r="Q44" s="189" t="str">
        <f>IF(OR(R44="Preventivo",R44="Detectivo"),"Probabilidad",IF(R44="Correctivo","Impacto",""))</f>
        <v/>
      </c>
      <c r="R44" s="190"/>
      <c r="S44" s="190"/>
      <c r="T44" s="191" t="str">
        <f t="shared" ref="T44:T48" si="8">IF(AND(R44="Preventivo",S44="Automático"),"50%",IF(AND(R44="Preventivo",S44="Manual"),"40%",IF(AND(R44="Detectivo",S44="Automático"),"40%",IF(AND(R44="Detectivo",S44="Manual"),"30%",IF(AND(R44="Correctivo",S44="Automático"),"35%",IF(AND(R44="Correctivo",S44="Manual"),"25%",""))))))</f>
        <v/>
      </c>
      <c r="U44" s="190"/>
      <c r="V44" s="190"/>
      <c r="W44" s="190"/>
      <c r="X44" s="154" t="str">
        <f>IFERROR(IF(AND(Q43="Probabilidad",Q44="Probabilidad"),(Z43-(+Z43*T44)),IF(Q44="Probabilidad",(I43-(+I43*T44)),IF(Q44="Impacto",Z43,""))),"")</f>
        <v/>
      </c>
      <c r="Y44" s="192" t="str">
        <f t="shared" si="1"/>
        <v/>
      </c>
      <c r="Z44" s="160" t="str">
        <f t="shared" ref="Z44:Z48" si="9">+X44</f>
        <v/>
      </c>
      <c r="AA44" s="192" t="str">
        <f t="shared" si="3"/>
        <v/>
      </c>
      <c r="AB44" s="160" t="str">
        <f>IFERROR(IF(AND(Q43="Impacto",Q44="Impacto"),(AB43-(+AB43*T44)),IF(Q44="Impacto",(M43-(+M43*T44)),IF(Q44="Probabilidad",AB43,""))),"")</f>
        <v/>
      </c>
      <c r="AC44" s="193" t="str">
        <f t="shared" ref="AC44:AC45" si="10">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61"/>
      <c r="AE44" s="194"/>
      <c r="AF44" s="195"/>
      <c r="AG44" s="196"/>
      <c r="AH44" s="196"/>
      <c r="AI44" s="194"/>
      <c r="AJ44" s="195"/>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row>
    <row r="45" spans="1:68" ht="18" hidden="1" customHeight="1" x14ac:dyDescent="0.25">
      <c r="A45" s="277"/>
      <c r="B45" s="278"/>
      <c r="C45" s="278"/>
      <c r="D45" s="278"/>
      <c r="E45" s="312"/>
      <c r="F45" s="278"/>
      <c r="G45" s="283"/>
      <c r="H45" s="314"/>
      <c r="I45" s="309"/>
      <c r="J45" s="315"/>
      <c r="K45" s="309">
        <f>IF(NOT(ISERROR(MATCH(J45,_xlfn.ANCHORARRAY(E56),0))),I58&amp;"Por favor no seleccionar los criterios de impacto",J45)</f>
        <v>0</v>
      </c>
      <c r="L45" s="314"/>
      <c r="M45" s="309"/>
      <c r="N45" s="310"/>
      <c r="O45" s="4">
        <v>3</v>
      </c>
      <c r="P45" s="197"/>
      <c r="Q45" s="189" t="str">
        <f>IF(OR(R45="Preventivo",R45="Detectivo"),"Probabilidad",IF(R45="Correctivo","Impacto",""))</f>
        <v/>
      </c>
      <c r="R45" s="190"/>
      <c r="S45" s="190"/>
      <c r="T45" s="191" t="str">
        <f t="shared" si="8"/>
        <v/>
      </c>
      <c r="U45" s="190"/>
      <c r="V45" s="190"/>
      <c r="W45" s="190"/>
      <c r="X45" s="154" t="str">
        <f>IFERROR(IF(AND(Q44="Probabilidad",Q45="Probabilidad"),(Z44-(+Z44*T45)),IF(AND(Q44="Impacto",Q45="Probabilidad"),(Z43-(+Z43*T45)),IF(Q45="Impacto",Z44,""))),"")</f>
        <v/>
      </c>
      <c r="Y45" s="192" t="str">
        <f t="shared" si="1"/>
        <v/>
      </c>
      <c r="Z45" s="160" t="str">
        <f t="shared" si="9"/>
        <v/>
      </c>
      <c r="AA45" s="192" t="str">
        <f t="shared" si="3"/>
        <v/>
      </c>
      <c r="AB45" s="160" t="str">
        <f>IFERROR(IF(AND(Q44="Impacto",Q45="Impacto"),(AB44-(+AB44*T45)),IF(AND(Q44="Probabilidad",Q45="Impacto"),(AB43-(+AB43*T45)),IF(Q45="Probabilidad",AB44,""))),"")</f>
        <v/>
      </c>
      <c r="AC45" s="193" t="str">
        <f t="shared" si="10"/>
        <v/>
      </c>
      <c r="AD45" s="161"/>
      <c r="AE45" s="194"/>
      <c r="AF45" s="195"/>
      <c r="AG45" s="196"/>
      <c r="AH45" s="196"/>
      <c r="AI45" s="194"/>
      <c r="AJ45" s="195"/>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row>
    <row r="46" spans="1:68" ht="18" hidden="1" customHeight="1" x14ac:dyDescent="0.25">
      <c r="A46" s="277"/>
      <c r="B46" s="278"/>
      <c r="C46" s="278"/>
      <c r="D46" s="278"/>
      <c r="E46" s="312"/>
      <c r="F46" s="278"/>
      <c r="G46" s="283"/>
      <c r="H46" s="314"/>
      <c r="I46" s="309"/>
      <c r="J46" s="315"/>
      <c r="K46" s="309">
        <f>IF(NOT(ISERROR(MATCH(J46,_xlfn.ANCHORARRAY(E57),0))),I59&amp;"Por favor no seleccionar los criterios de impacto",J46)</f>
        <v>0</v>
      </c>
      <c r="L46" s="314"/>
      <c r="M46" s="309"/>
      <c r="N46" s="310"/>
      <c r="O46" s="4">
        <v>4</v>
      </c>
      <c r="P46" s="188"/>
      <c r="Q46" s="189" t="str">
        <f t="shared" ref="Q46:Q48" si="11">IF(OR(R46="Preventivo",R46="Detectivo"),"Probabilidad",IF(R46="Correctivo","Impacto",""))</f>
        <v/>
      </c>
      <c r="R46" s="190"/>
      <c r="S46" s="190"/>
      <c r="T46" s="191" t="str">
        <f t="shared" si="8"/>
        <v/>
      </c>
      <c r="U46" s="190"/>
      <c r="V46" s="190"/>
      <c r="W46" s="190"/>
      <c r="X46" s="154" t="str">
        <f t="shared" ref="X46:X48" si="12">IFERROR(IF(AND(Q45="Probabilidad",Q46="Probabilidad"),(Z45-(+Z45*T46)),IF(AND(Q45="Impacto",Q46="Probabilidad"),(Z44-(+Z44*T46)),IF(Q46="Impacto",Z45,""))),"")</f>
        <v/>
      </c>
      <c r="Y46" s="192" t="str">
        <f t="shared" si="1"/>
        <v/>
      </c>
      <c r="Z46" s="160" t="str">
        <f t="shared" si="9"/>
        <v/>
      </c>
      <c r="AA46" s="192" t="str">
        <f t="shared" si="3"/>
        <v/>
      </c>
      <c r="AB46" s="160" t="str">
        <f t="shared" ref="AB46:AB48" si="13">IFERROR(IF(AND(Q45="Impacto",Q46="Impacto"),(AB45-(+AB45*T46)),IF(AND(Q45="Probabilidad",Q46="Impacto"),(AB44-(+AB44*T46)),IF(Q46="Probabilidad",AB45,""))),"")</f>
        <v/>
      </c>
      <c r="AC46" s="19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61"/>
      <c r="AE46" s="194"/>
      <c r="AF46" s="195"/>
      <c r="AG46" s="196"/>
      <c r="AH46" s="196"/>
      <c r="AI46" s="194"/>
      <c r="AJ46" s="195"/>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row>
    <row r="47" spans="1:68" ht="18" hidden="1" customHeight="1" x14ac:dyDescent="0.25">
      <c r="A47" s="277"/>
      <c r="B47" s="278"/>
      <c r="C47" s="278"/>
      <c r="D47" s="278"/>
      <c r="E47" s="312"/>
      <c r="F47" s="278"/>
      <c r="G47" s="283"/>
      <c r="H47" s="314"/>
      <c r="I47" s="309"/>
      <c r="J47" s="315"/>
      <c r="K47" s="309">
        <f>IF(NOT(ISERROR(MATCH(J47,_xlfn.ANCHORARRAY(E58),0))),I60&amp;"Por favor no seleccionar los criterios de impacto",J47)</f>
        <v>0</v>
      </c>
      <c r="L47" s="314"/>
      <c r="M47" s="309"/>
      <c r="N47" s="310"/>
      <c r="O47" s="4">
        <v>5</v>
      </c>
      <c r="P47" s="188"/>
      <c r="Q47" s="189" t="str">
        <f t="shared" si="11"/>
        <v/>
      </c>
      <c r="R47" s="190"/>
      <c r="S47" s="190"/>
      <c r="T47" s="191" t="str">
        <f t="shared" si="8"/>
        <v/>
      </c>
      <c r="U47" s="190"/>
      <c r="V47" s="190"/>
      <c r="W47" s="190"/>
      <c r="X47" s="154" t="str">
        <f t="shared" si="12"/>
        <v/>
      </c>
      <c r="Y47" s="192" t="str">
        <f t="shared" si="1"/>
        <v/>
      </c>
      <c r="Z47" s="160" t="str">
        <f t="shared" si="9"/>
        <v/>
      </c>
      <c r="AA47" s="192" t="str">
        <f t="shared" si="3"/>
        <v/>
      </c>
      <c r="AB47" s="160" t="str">
        <f t="shared" si="13"/>
        <v/>
      </c>
      <c r="AC47" s="193" t="str">
        <f t="shared" ref="AC47:AC48" si="14">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61"/>
      <c r="AE47" s="194"/>
      <c r="AF47" s="195"/>
      <c r="AG47" s="196"/>
      <c r="AH47" s="196"/>
      <c r="AI47" s="194"/>
      <c r="AJ47" s="195"/>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row>
    <row r="48" spans="1:68" ht="18" hidden="1" customHeight="1" x14ac:dyDescent="0.25">
      <c r="A48" s="267"/>
      <c r="B48" s="249"/>
      <c r="C48" s="249"/>
      <c r="D48" s="249"/>
      <c r="E48" s="313"/>
      <c r="F48" s="249"/>
      <c r="G48" s="263"/>
      <c r="H48" s="271"/>
      <c r="I48" s="273"/>
      <c r="J48" s="285"/>
      <c r="K48" s="273">
        <f>IF(NOT(ISERROR(MATCH(J48,_xlfn.ANCHORARRAY(E59),0))),I61&amp;"Por favor no seleccionar los criterios de impacto",J48)</f>
        <v>0</v>
      </c>
      <c r="L48" s="271"/>
      <c r="M48" s="273"/>
      <c r="N48" s="275"/>
      <c r="O48" s="4">
        <v>6</v>
      </c>
      <c r="P48" s="188"/>
      <c r="Q48" s="189" t="str">
        <f t="shared" si="11"/>
        <v/>
      </c>
      <c r="R48" s="190"/>
      <c r="S48" s="190"/>
      <c r="T48" s="191" t="str">
        <f t="shared" si="8"/>
        <v/>
      </c>
      <c r="U48" s="190"/>
      <c r="V48" s="190"/>
      <c r="W48" s="190"/>
      <c r="X48" s="154" t="str">
        <f t="shared" si="12"/>
        <v/>
      </c>
      <c r="Y48" s="192" t="str">
        <f t="shared" si="1"/>
        <v/>
      </c>
      <c r="Z48" s="160" t="str">
        <f t="shared" si="9"/>
        <v/>
      </c>
      <c r="AA48" s="192" t="str">
        <f t="shared" si="3"/>
        <v/>
      </c>
      <c r="AB48" s="160" t="str">
        <f t="shared" si="13"/>
        <v/>
      </c>
      <c r="AC48" s="193" t="str">
        <f t="shared" si="14"/>
        <v/>
      </c>
      <c r="AD48" s="161"/>
      <c r="AE48" s="194"/>
      <c r="AF48" s="195"/>
      <c r="AG48" s="196"/>
      <c r="AH48" s="196"/>
      <c r="AI48" s="194"/>
      <c r="AJ48" s="195"/>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row>
    <row r="49" spans="1:68" ht="18" hidden="1" customHeight="1" x14ac:dyDescent="0.25">
      <c r="A49" s="266">
        <v>9</v>
      </c>
      <c r="B49" s="248"/>
      <c r="C49" s="248"/>
      <c r="D49" s="248"/>
      <c r="E49" s="311"/>
      <c r="F49" s="248"/>
      <c r="G49" s="262"/>
      <c r="H49" s="270" t="str">
        <f>IF(G49&lt;=0,"",IF(G49&lt;=2,"Muy Baja",IF(G49&lt;=24,"Baja",IF(G49&lt;=500,"Media",IF(G49&lt;=5000,"Alta","Muy Alta")))))</f>
        <v/>
      </c>
      <c r="I49" s="272" t="str">
        <f>IF(H49="","",IF(H49="Muy Baja",0.2,IF(H49="Baja",0.4,IF(H49="Media",0.6,IF(H49="Alta",0.8,IF(H49="Muy Alta",1,))))))</f>
        <v/>
      </c>
      <c r="J49" s="284"/>
      <c r="K49" s="272">
        <f>IF(NOT(ISERROR(MATCH(J49,'Tabla Impacto'!$B$221:$B$223,0))),'Tabla Impacto'!$F$228&amp;"Por favor no seleccionar los criterios de impacto(Afectación Económica o presupuestal y Pérdida Reputacional)",J49)</f>
        <v>0</v>
      </c>
      <c r="L49" s="270" t="str">
        <f>IF(OR(K49='Tabla Impacto'!$C$11,K49='Tabla Impacto'!$D$11),"Leve",IF(OR(K49='Tabla Impacto'!$C$12,K49='Tabla Impacto'!$D$12),"Menor",IF(OR(K49='Tabla Impacto'!$C$13,K49='Tabla Impacto'!$D$13),"Moderado",IF(OR(K49='Tabla Impacto'!$C$14,K49='Tabla Impacto'!$D$14),"Mayor",IF(OR(K49='Tabla Impacto'!$C$15,K49='Tabla Impacto'!$D$15),"Catastrófico","")))))</f>
        <v/>
      </c>
      <c r="M49" s="272" t="str">
        <f>IF(L49="","",IF(L49="Leve",0.2,IF(L49="Menor",0.4,IF(L49="Moderado",0.6,IF(L49="Mayor",0.8,IF(L49="Catastrófico",1,))))))</f>
        <v/>
      </c>
      <c r="N49" s="274" t="str">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
      </c>
      <c r="O49" s="4">
        <v>1</v>
      </c>
      <c r="P49" s="188"/>
      <c r="Q49" s="189" t="str">
        <f>IF(OR(R49="Preventivo",R49="Detectivo"),"Probabilidad",IF(R49="Correctivo","Impacto",""))</f>
        <v/>
      </c>
      <c r="R49" s="190"/>
      <c r="S49" s="190"/>
      <c r="T49" s="191" t="str">
        <f>IF(AND(R49="Preventivo",S49="Automático"),"50%",IF(AND(R49="Preventivo",S49="Manual"),"40%",IF(AND(R49="Detectivo",S49="Automático"),"40%",IF(AND(R49="Detectivo",S49="Manual"),"30%",IF(AND(R49="Correctivo",S49="Automático"),"35%",IF(AND(R49="Correctivo",S49="Manual"),"25%",""))))))</f>
        <v/>
      </c>
      <c r="U49" s="190"/>
      <c r="V49" s="190"/>
      <c r="W49" s="190"/>
      <c r="X49" s="154" t="str">
        <f>IFERROR(IF(Q49="Probabilidad",(I49-(+I49*T49)),IF(Q49="Impacto",I49,"")),"")</f>
        <v/>
      </c>
      <c r="Y49" s="192" t="str">
        <f>IFERROR(IF(X49="","",IF(X49&lt;=0.2,"Muy Baja",IF(X49&lt;=0.4,"Baja",IF(X49&lt;=0.6,"Media",IF(X49&lt;=0.8,"Alta","Muy Alta"))))),"")</f>
        <v/>
      </c>
      <c r="Z49" s="160" t="str">
        <f>+X49</f>
        <v/>
      </c>
      <c r="AA49" s="192" t="str">
        <f>IFERROR(IF(AB49="","",IF(AB49&lt;=0.2,"Leve",IF(AB49&lt;=0.4,"Menor",IF(AB49&lt;=0.6,"Moderado",IF(AB49&lt;=0.8,"Mayor","Catastrófico"))))),"")</f>
        <v/>
      </c>
      <c r="AB49" s="160" t="str">
        <f>IFERROR(IF(Q49="Impacto",(M49-(+M49*T49)),IF(Q49="Probabilidad",M49,"")),"")</f>
        <v/>
      </c>
      <c r="AC49" s="19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61"/>
      <c r="AE49" s="194"/>
      <c r="AF49" s="195"/>
      <c r="AG49" s="196"/>
      <c r="AH49" s="196"/>
      <c r="AI49" s="194"/>
      <c r="AJ49" s="195"/>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row>
    <row r="50" spans="1:68" ht="18" hidden="1" customHeight="1" x14ac:dyDescent="0.25">
      <c r="A50" s="277"/>
      <c r="B50" s="278"/>
      <c r="C50" s="278"/>
      <c r="D50" s="278"/>
      <c r="E50" s="312"/>
      <c r="F50" s="278"/>
      <c r="G50" s="283"/>
      <c r="H50" s="314"/>
      <c r="I50" s="309"/>
      <c r="J50" s="315"/>
      <c r="K50" s="309">
        <f>IF(NOT(ISERROR(MATCH(J50,_xlfn.ANCHORARRAY(E61),0))),I63&amp;"Por favor no seleccionar los criterios de impacto",J50)</f>
        <v>0</v>
      </c>
      <c r="L50" s="314"/>
      <c r="M50" s="309"/>
      <c r="N50" s="310"/>
      <c r="O50" s="4">
        <v>2</v>
      </c>
      <c r="P50" s="188"/>
      <c r="Q50" s="189" t="str">
        <f>IF(OR(R50="Preventivo",R50="Detectivo"),"Probabilidad",IF(R50="Correctivo","Impacto",""))</f>
        <v/>
      </c>
      <c r="R50" s="190"/>
      <c r="S50" s="190"/>
      <c r="T50" s="191" t="str">
        <f t="shared" ref="T50:T54" si="15">IF(AND(R50="Preventivo",S50="Automático"),"50%",IF(AND(R50="Preventivo",S50="Manual"),"40%",IF(AND(R50="Detectivo",S50="Automático"),"40%",IF(AND(R50="Detectivo",S50="Manual"),"30%",IF(AND(R50="Correctivo",S50="Automático"),"35%",IF(AND(R50="Correctivo",S50="Manual"),"25%",""))))))</f>
        <v/>
      </c>
      <c r="U50" s="190"/>
      <c r="V50" s="190"/>
      <c r="W50" s="190"/>
      <c r="X50" s="154" t="str">
        <f>IFERROR(IF(AND(Q49="Probabilidad",Q50="Probabilidad"),(Z49-(+Z49*T50)),IF(Q50="Probabilidad",(I49-(+I49*T50)),IF(Q50="Impacto",Z49,""))),"")</f>
        <v/>
      </c>
      <c r="Y50" s="192" t="str">
        <f t="shared" si="1"/>
        <v/>
      </c>
      <c r="Z50" s="160" t="str">
        <f t="shared" ref="Z50:Z54" si="16">+X50</f>
        <v/>
      </c>
      <c r="AA50" s="192" t="str">
        <f t="shared" si="3"/>
        <v/>
      </c>
      <c r="AB50" s="160" t="str">
        <f>IFERROR(IF(AND(Q49="Impacto",Q50="Impacto"),(AB49-(+AB49*T50)),IF(Q50="Impacto",(M49-(+M49*T50)),IF(Q50="Probabilidad",AB49,""))),"")</f>
        <v/>
      </c>
      <c r="AC50" s="193" t="str">
        <f t="shared" ref="AC50:AC51" si="17">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61"/>
      <c r="AE50" s="194"/>
      <c r="AF50" s="195"/>
      <c r="AG50" s="196"/>
      <c r="AH50" s="196"/>
      <c r="AI50" s="194"/>
      <c r="AJ50" s="195"/>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row>
    <row r="51" spans="1:68" ht="18" hidden="1" customHeight="1" x14ac:dyDescent="0.25">
      <c r="A51" s="277"/>
      <c r="B51" s="278"/>
      <c r="C51" s="278"/>
      <c r="D51" s="278"/>
      <c r="E51" s="312"/>
      <c r="F51" s="278"/>
      <c r="G51" s="283"/>
      <c r="H51" s="314"/>
      <c r="I51" s="309"/>
      <c r="J51" s="315"/>
      <c r="K51" s="309">
        <f>IF(NOT(ISERROR(MATCH(J51,_xlfn.ANCHORARRAY(E62),0))),I64&amp;"Por favor no seleccionar los criterios de impacto",J51)</f>
        <v>0</v>
      </c>
      <c r="L51" s="314"/>
      <c r="M51" s="309"/>
      <c r="N51" s="310"/>
      <c r="O51" s="4">
        <v>3</v>
      </c>
      <c r="P51" s="197"/>
      <c r="Q51" s="189" t="str">
        <f>IF(OR(R51="Preventivo",R51="Detectivo"),"Probabilidad",IF(R51="Correctivo","Impacto",""))</f>
        <v/>
      </c>
      <c r="R51" s="190"/>
      <c r="S51" s="190"/>
      <c r="T51" s="191" t="str">
        <f t="shared" si="15"/>
        <v/>
      </c>
      <c r="U51" s="190"/>
      <c r="V51" s="190"/>
      <c r="W51" s="190"/>
      <c r="X51" s="154" t="str">
        <f>IFERROR(IF(AND(Q50="Probabilidad",Q51="Probabilidad"),(Z50-(+Z50*T51)),IF(AND(Q50="Impacto",Q51="Probabilidad"),(Z49-(+Z49*T51)),IF(Q51="Impacto",Z50,""))),"")</f>
        <v/>
      </c>
      <c r="Y51" s="192" t="str">
        <f t="shared" si="1"/>
        <v/>
      </c>
      <c r="Z51" s="160" t="str">
        <f t="shared" si="16"/>
        <v/>
      </c>
      <c r="AA51" s="192" t="str">
        <f t="shared" si="3"/>
        <v/>
      </c>
      <c r="AB51" s="160" t="str">
        <f>IFERROR(IF(AND(Q50="Impacto",Q51="Impacto"),(AB50-(+AB50*T51)),IF(AND(Q50="Probabilidad",Q51="Impacto"),(AB49-(+AB49*T51)),IF(Q51="Probabilidad",AB50,""))),"")</f>
        <v/>
      </c>
      <c r="AC51" s="193" t="str">
        <f t="shared" si="17"/>
        <v/>
      </c>
      <c r="AD51" s="161"/>
      <c r="AE51" s="194"/>
      <c r="AF51" s="195"/>
      <c r="AG51" s="196"/>
      <c r="AH51" s="196"/>
      <c r="AI51" s="194"/>
      <c r="AJ51" s="195"/>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row>
    <row r="52" spans="1:68" ht="18" hidden="1" customHeight="1" x14ac:dyDescent="0.25">
      <c r="A52" s="277"/>
      <c r="B52" s="278"/>
      <c r="C52" s="278"/>
      <c r="D52" s="278"/>
      <c r="E52" s="312"/>
      <c r="F52" s="278"/>
      <c r="G52" s="283"/>
      <c r="H52" s="314"/>
      <c r="I52" s="309"/>
      <c r="J52" s="315"/>
      <c r="K52" s="309">
        <f>IF(NOT(ISERROR(MATCH(J52,_xlfn.ANCHORARRAY(E63),0))),I65&amp;"Por favor no seleccionar los criterios de impacto",J52)</f>
        <v>0</v>
      </c>
      <c r="L52" s="314"/>
      <c r="M52" s="309"/>
      <c r="N52" s="310"/>
      <c r="O52" s="4">
        <v>4</v>
      </c>
      <c r="P52" s="188"/>
      <c r="Q52" s="189" t="str">
        <f t="shared" ref="Q52:Q54" si="18">IF(OR(R52="Preventivo",R52="Detectivo"),"Probabilidad",IF(R52="Correctivo","Impacto",""))</f>
        <v/>
      </c>
      <c r="R52" s="190"/>
      <c r="S52" s="190"/>
      <c r="T52" s="191" t="str">
        <f t="shared" si="15"/>
        <v/>
      </c>
      <c r="U52" s="190"/>
      <c r="V52" s="190"/>
      <c r="W52" s="190"/>
      <c r="X52" s="154" t="str">
        <f t="shared" ref="X52:X54" si="19">IFERROR(IF(AND(Q51="Probabilidad",Q52="Probabilidad"),(Z51-(+Z51*T52)),IF(AND(Q51="Impacto",Q52="Probabilidad"),(Z50-(+Z50*T52)),IF(Q52="Impacto",Z51,""))),"")</f>
        <v/>
      </c>
      <c r="Y52" s="192" t="str">
        <f t="shared" si="1"/>
        <v/>
      </c>
      <c r="Z52" s="160" t="str">
        <f t="shared" si="16"/>
        <v/>
      </c>
      <c r="AA52" s="192" t="str">
        <f t="shared" si="3"/>
        <v/>
      </c>
      <c r="AB52" s="160" t="str">
        <f t="shared" ref="AB52:AB54" si="20">IFERROR(IF(AND(Q51="Impacto",Q52="Impacto"),(AB51-(+AB51*T52)),IF(AND(Q51="Probabilidad",Q52="Impacto"),(AB50-(+AB50*T52)),IF(Q52="Probabilidad",AB51,""))),"")</f>
        <v/>
      </c>
      <c r="AC52" s="19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61"/>
      <c r="AE52" s="194"/>
      <c r="AF52" s="195"/>
      <c r="AG52" s="196"/>
      <c r="AH52" s="196"/>
      <c r="AI52" s="194"/>
      <c r="AJ52" s="195"/>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row>
    <row r="53" spans="1:68" ht="18" hidden="1" customHeight="1" x14ac:dyDescent="0.25">
      <c r="A53" s="277"/>
      <c r="B53" s="278"/>
      <c r="C53" s="278"/>
      <c r="D53" s="278"/>
      <c r="E53" s="312"/>
      <c r="F53" s="278"/>
      <c r="G53" s="283"/>
      <c r="H53" s="314"/>
      <c r="I53" s="309"/>
      <c r="J53" s="315"/>
      <c r="K53" s="309">
        <f>IF(NOT(ISERROR(MATCH(J53,_xlfn.ANCHORARRAY(E64),0))),I66&amp;"Por favor no seleccionar los criterios de impacto",J53)</f>
        <v>0</v>
      </c>
      <c r="L53" s="314"/>
      <c r="M53" s="309"/>
      <c r="N53" s="310"/>
      <c r="O53" s="4">
        <v>5</v>
      </c>
      <c r="P53" s="188"/>
      <c r="Q53" s="189" t="str">
        <f t="shared" si="18"/>
        <v/>
      </c>
      <c r="R53" s="190"/>
      <c r="S53" s="190"/>
      <c r="T53" s="191" t="str">
        <f t="shared" si="15"/>
        <v/>
      </c>
      <c r="U53" s="190"/>
      <c r="V53" s="190"/>
      <c r="W53" s="190"/>
      <c r="X53" s="154" t="str">
        <f t="shared" si="19"/>
        <v/>
      </c>
      <c r="Y53" s="192" t="str">
        <f t="shared" si="1"/>
        <v/>
      </c>
      <c r="Z53" s="160" t="str">
        <f t="shared" si="16"/>
        <v/>
      </c>
      <c r="AA53" s="192" t="str">
        <f t="shared" si="3"/>
        <v/>
      </c>
      <c r="AB53" s="160" t="str">
        <f t="shared" si="20"/>
        <v/>
      </c>
      <c r="AC53" s="193" t="str">
        <f t="shared" ref="AC53:AC54" si="21">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61"/>
      <c r="AE53" s="194"/>
      <c r="AF53" s="195"/>
      <c r="AG53" s="196"/>
      <c r="AH53" s="196"/>
      <c r="AI53" s="194"/>
      <c r="AJ53" s="195"/>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row>
    <row r="54" spans="1:68" ht="18" hidden="1" customHeight="1" x14ac:dyDescent="0.25">
      <c r="A54" s="267"/>
      <c r="B54" s="249"/>
      <c r="C54" s="249"/>
      <c r="D54" s="249"/>
      <c r="E54" s="313"/>
      <c r="F54" s="249"/>
      <c r="G54" s="263"/>
      <c r="H54" s="271"/>
      <c r="I54" s="273"/>
      <c r="J54" s="285"/>
      <c r="K54" s="273">
        <f>IF(NOT(ISERROR(MATCH(J54,_xlfn.ANCHORARRAY(E65),0))),I67&amp;"Por favor no seleccionar los criterios de impacto",J54)</f>
        <v>0</v>
      </c>
      <c r="L54" s="271"/>
      <c r="M54" s="273"/>
      <c r="N54" s="275"/>
      <c r="O54" s="4">
        <v>6</v>
      </c>
      <c r="P54" s="188"/>
      <c r="Q54" s="189" t="str">
        <f t="shared" si="18"/>
        <v/>
      </c>
      <c r="R54" s="190"/>
      <c r="S54" s="190"/>
      <c r="T54" s="191" t="str">
        <f t="shared" si="15"/>
        <v/>
      </c>
      <c r="U54" s="190"/>
      <c r="V54" s="190"/>
      <c r="W54" s="190"/>
      <c r="X54" s="154" t="str">
        <f t="shared" si="19"/>
        <v/>
      </c>
      <c r="Y54" s="192" t="str">
        <f t="shared" si="1"/>
        <v/>
      </c>
      <c r="Z54" s="160" t="str">
        <f t="shared" si="16"/>
        <v/>
      </c>
      <c r="AA54" s="192" t="str">
        <f t="shared" si="3"/>
        <v/>
      </c>
      <c r="AB54" s="160" t="str">
        <f t="shared" si="20"/>
        <v/>
      </c>
      <c r="AC54" s="193" t="str">
        <f t="shared" si="21"/>
        <v/>
      </c>
      <c r="AD54" s="161"/>
      <c r="AE54" s="194"/>
      <c r="AF54" s="195"/>
      <c r="AG54" s="196"/>
      <c r="AH54" s="196"/>
      <c r="AI54" s="194"/>
      <c r="AJ54" s="195"/>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row>
    <row r="55" spans="1:68" ht="18" hidden="1" customHeight="1" x14ac:dyDescent="0.25">
      <c r="A55" s="266">
        <v>10</v>
      </c>
      <c r="B55" s="248"/>
      <c r="C55" s="248"/>
      <c r="D55" s="248"/>
      <c r="E55" s="311"/>
      <c r="F55" s="248"/>
      <c r="G55" s="262"/>
      <c r="H55" s="270" t="str">
        <f>IF(G55&lt;=0,"",IF(G55&lt;=2,"Muy Baja",IF(G55&lt;=24,"Baja",IF(G55&lt;=500,"Media",IF(G55&lt;=5000,"Alta","Muy Alta")))))</f>
        <v/>
      </c>
      <c r="I55" s="272" t="str">
        <f>IF(H55="","",IF(H55="Muy Baja",0.2,IF(H55="Baja",0.4,IF(H55="Media",0.6,IF(H55="Alta",0.8,IF(H55="Muy Alta",1,))))))</f>
        <v/>
      </c>
      <c r="J55" s="284"/>
      <c r="K55" s="272">
        <f>IF(NOT(ISERROR(MATCH(J55,'Tabla Impacto'!$B$221:$B$223,0))),'Tabla Impacto'!$F$228&amp;"Por favor no seleccionar los criterios de impacto(Afectación Económica o presupuestal y Pérdida Reputacional)",J55)</f>
        <v>0</v>
      </c>
      <c r="L55" s="270" t="str">
        <f>IF(OR(K55='Tabla Impacto'!$C$11,K55='Tabla Impacto'!$D$11),"Leve",IF(OR(K55='Tabla Impacto'!$C$12,K55='Tabla Impacto'!$D$12),"Menor",IF(OR(K55='Tabla Impacto'!$C$13,K55='Tabla Impacto'!$D$13),"Moderado",IF(OR(K55='Tabla Impacto'!$C$14,K55='Tabla Impacto'!$D$14),"Mayor",IF(OR(K55='Tabla Impacto'!$C$15,K55='Tabla Impacto'!$D$15),"Catastrófico","")))))</f>
        <v/>
      </c>
      <c r="M55" s="272" t="str">
        <f>IF(L55="","",IF(L55="Leve",0.2,IF(L55="Menor",0.4,IF(L55="Moderado",0.6,IF(L55="Mayor",0.8,IF(L55="Catastrófico",1,))))))</f>
        <v/>
      </c>
      <c r="N55" s="274"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
      </c>
      <c r="O55" s="4">
        <v>1</v>
      </c>
      <c r="P55" s="188"/>
      <c r="Q55" s="189" t="str">
        <f>IF(OR(R55="Preventivo",R55="Detectivo"),"Probabilidad",IF(R55="Correctivo","Impacto",""))</f>
        <v/>
      </c>
      <c r="R55" s="190"/>
      <c r="S55" s="190"/>
      <c r="T55" s="191" t="str">
        <f>IF(AND(R55="Preventivo",S55="Automático"),"50%",IF(AND(R55="Preventivo",S55="Manual"),"40%",IF(AND(R55="Detectivo",S55="Automático"),"40%",IF(AND(R55="Detectivo",S55="Manual"),"30%",IF(AND(R55="Correctivo",S55="Automático"),"35%",IF(AND(R55="Correctivo",S55="Manual"),"25%",""))))))</f>
        <v/>
      </c>
      <c r="U55" s="190"/>
      <c r="V55" s="190"/>
      <c r="W55" s="190"/>
      <c r="X55" s="154" t="str">
        <f>IFERROR(IF(Q55="Probabilidad",(I55-(+I55*T55)),IF(Q55="Impacto",I55,"")),"")</f>
        <v/>
      </c>
      <c r="Y55" s="192" t="str">
        <f>IFERROR(IF(X55="","",IF(X55&lt;=0.2,"Muy Baja",IF(X55&lt;=0.4,"Baja",IF(X55&lt;=0.6,"Media",IF(X55&lt;=0.8,"Alta","Muy Alta"))))),"")</f>
        <v/>
      </c>
      <c r="Z55" s="160" t="str">
        <f>+X55</f>
        <v/>
      </c>
      <c r="AA55" s="192" t="str">
        <f>IFERROR(IF(AB55="","",IF(AB55&lt;=0.2,"Leve",IF(AB55&lt;=0.4,"Menor",IF(AB55&lt;=0.6,"Moderado",IF(AB55&lt;=0.8,"Mayor","Catastrófico"))))),"")</f>
        <v/>
      </c>
      <c r="AB55" s="160" t="str">
        <f>IFERROR(IF(Q55="Impacto",(M55-(+M55*T55)),IF(Q55="Probabilidad",M55,"")),"")</f>
        <v/>
      </c>
      <c r="AC55" s="19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61"/>
      <c r="AE55" s="194"/>
      <c r="AF55" s="195"/>
      <c r="AG55" s="196"/>
      <c r="AH55" s="196"/>
      <c r="AI55" s="194"/>
      <c r="AJ55" s="195"/>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row>
    <row r="56" spans="1:68" ht="18" hidden="1" customHeight="1" x14ac:dyDescent="0.25">
      <c r="A56" s="277"/>
      <c r="B56" s="278"/>
      <c r="C56" s="278"/>
      <c r="D56" s="278"/>
      <c r="E56" s="312"/>
      <c r="F56" s="278"/>
      <c r="G56" s="283"/>
      <c r="H56" s="314"/>
      <c r="I56" s="309"/>
      <c r="J56" s="315"/>
      <c r="K56" s="309">
        <f>IF(NOT(ISERROR(MATCH(J56,_xlfn.ANCHORARRAY(E67),0))),I69&amp;"Por favor no seleccionar los criterios de impacto",J56)</f>
        <v>0</v>
      </c>
      <c r="L56" s="314"/>
      <c r="M56" s="309"/>
      <c r="N56" s="310"/>
      <c r="O56" s="4">
        <v>2</v>
      </c>
      <c r="P56" s="188"/>
      <c r="Q56" s="189" t="str">
        <f>IF(OR(R56="Preventivo",R56="Detectivo"),"Probabilidad",IF(R56="Correctivo","Impacto",""))</f>
        <v/>
      </c>
      <c r="R56" s="190"/>
      <c r="S56" s="190"/>
      <c r="T56" s="191" t="str">
        <f t="shared" ref="T56:T60" si="22">IF(AND(R56="Preventivo",S56="Automático"),"50%",IF(AND(R56="Preventivo",S56="Manual"),"40%",IF(AND(R56="Detectivo",S56="Automático"),"40%",IF(AND(R56="Detectivo",S56="Manual"),"30%",IF(AND(R56="Correctivo",S56="Automático"),"35%",IF(AND(R56="Correctivo",S56="Manual"),"25%",""))))))</f>
        <v/>
      </c>
      <c r="U56" s="190"/>
      <c r="V56" s="190"/>
      <c r="W56" s="190"/>
      <c r="X56" s="154" t="str">
        <f>IFERROR(IF(AND(Q55="Probabilidad",Q56="Probabilidad"),(Z55-(+Z55*T56)),IF(Q56="Probabilidad",(I55-(+I55*T56)),IF(Q56="Impacto",Z55,""))),"")</f>
        <v/>
      </c>
      <c r="Y56" s="192" t="str">
        <f t="shared" si="1"/>
        <v/>
      </c>
      <c r="Z56" s="160" t="str">
        <f t="shared" ref="Z56:Z60" si="23">+X56</f>
        <v/>
      </c>
      <c r="AA56" s="192" t="str">
        <f t="shared" si="3"/>
        <v/>
      </c>
      <c r="AB56" s="160" t="str">
        <f>IFERROR(IF(AND(Q55="Impacto",Q56="Impacto"),(AB55-(+AB55*T56)),IF(Q56="Impacto",(M55-(+M55*T56)),IF(Q56="Probabilidad",AB55,""))),"")</f>
        <v/>
      </c>
      <c r="AC56" s="193" t="str">
        <f t="shared" ref="AC56:AC57" si="24">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61"/>
      <c r="AE56" s="194"/>
      <c r="AF56" s="195"/>
      <c r="AG56" s="196"/>
      <c r="AH56" s="196"/>
      <c r="AI56" s="194"/>
      <c r="AJ56" s="195"/>
    </row>
    <row r="57" spans="1:68" ht="18" hidden="1" customHeight="1" x14ac:dyDescent="0.25">
      <c r="A57" s="277"/>
      <c r="B57" s="278"/>
      <c r="C57" s="278"/>
      <c r="D57" s="278"/>
      <c r="E57" s="312"/>
      <c r="F57" s="278"/>
      <c r="G57" s="283"/>
      <c r="H57" s="314"/>
      <c r="I57" s="309"/>
      <c r="J57" s="315"/>
      <c r="K57" s="309">
        <f>IF(NOT(ISERROR(MATCH(J57,_xlfn.ANCHORARRAY(E68),0))),I70&amp;"Por favor no seleccionar los criterios de impacto",J57)</f>
        <v>0</v>
      </c>
      <c r="L57" s="314"/>
      <c r="M57" s="309"/>
      <c r="N57" s="310"/>
      <c r="O57" s="4">
        <v>3</v>
      </c>
      <c r="P57" s="197"/>
      <c r="Q57" s="189" t="str">
        <f>IF(OR(R57="Preventivo",R57="Detectivo"),"Probabilidad",IF(R57="Correctivo","Impacto",""))</f>
        <v/>
      </c>
      <c r="R57" s="190"/>
      <c r="S57" s="190"/>
      <c r="T57" s="191" t="str">
        <f t="shared" si="22"/>
        <v/>
      </c>
      <c r="U57" s="190"/>
      <c r="V57" s="190"/>
      <c r="W57" s="190"/>
      <c r="X57" s="154" t="str">
        <f>IFERROR(IF(AND(Q56="Probabilidad",Q57="Probabilidad"),(Z56-(+Z56*T57)),IF(AND(Q56="Impacto",Q57="Probabilidad"),(Z55-(+Z55*T57)),IF(Q57="Impacto",Z56,""))),"")</f>
        <v/>
      </c>
      <c r="Y57" s="192" t="str">
        <f t="shared" si="1"/>
        <v/>
      </c>
      <c r="Z57" s="160" t="str">
        <f t="shared" si="23"/>
        <v/>
      </c>
      <c r="AA57" s="192" t="str">
        <f t="shared" si="3"/>
        <v/>
      </c>
      <c r="AB57" s="160" t="str">
        <f>IFERROR(IF(AND(Q56="Impacto",Q57="Impacto"),(AB56-(+AB56*T57)),IF(AND(Q56="Probabilidad",Q57="Impacto"),(AB55-(+AB55*T57)),IF(Q57="Probabilidad",AB56,""))),"")</f>
        <v/>
      </c>
      <c r="AC57" s="193" t="str">
        <f t="shared" si="24"/>
        <v/>
      </c>
      <c r="AD57" s="161"/>
      <c r="AE57" s="194"/>
      <c r="AF57" s="195"/>
      <c r="AG57" s="196"/>
      <c r="AH57" s="196"/>
      <c r="AI57" s="194"/>
      <c r="AJ57" s="195"/>
    </row>
    <row r="58" spans="1:68" ht="18" hidden="1" customHeight="1" x14ac:dyDescent="0.25">
      <c r="A58" s="277"/>
      <c r="B58" s="278"/>
      <c r="C58" s="278"/>
      <c r="D58" s="278"/>
      <c r="E58" s="312"/>
      <c r="F58" s="278"/>
      <c r="G58" s="283"/>
      <c r="H58" s="314"/>
      <c r="I58" s="309"/>
      <c r="J58" s="315"/>
      <c r="K58" s="309">
        <f>IF(NOT(ISERROR(MATCH(J58,_xlfn.ANCHORARRAY(E69),0))),I71&amp;"Por favor no seleccionar los criterios de impacto",J58)</f>
        <v>0</v>
      </c>
      <c r="L58" s="314"/>
      <c r="M58" s="309"/>
      <c r="N58" s="310"/>
      <c r="O58" s="4">
        <v>4</v>
      </c>
      <c r="P58" s="188"/>
      <c r="Q58" s="189" t="str">
        <f t="shared" ref="Q58:Q60" si="25">IF(OR(R58="Preventivo",R58="Detectivo"),"Probabilidad",IF(R58="Correctivo","Impacto",""))</f>
        <v/>
      </c>
      <c r="R58" s="190"/>
      <c r="S58" s="190"/>
      <c r="T58" s="191" t="str">
        <f t="shared" si="22"/>
        <v/>
      </c>
      <c r="U58" s="190"/>
      <c r="V58" s="190"/>
      <c r="W58" s="190"/>
      <c r="X58" s="154" t="str">
        <f t="shared" ref="X58:X60" si="26">IFERROR(IF(AND(Q57="Probabilidad",Q58="Probabilidad"),(Z57-(+Z57*T58)),IF(AND(Q57="Impacto",Q58="Probabilidad"),(Z56-(+Z56*T58)),IF(Q58="Impacto",Z57,""))),"")</f>
        <v/>
      </c>
      <c r="Y58" s="192" t="str">
        <f t="shared" si="1"/>
        <v/>
      </c>
      <c r="Z58" s="160" t="str">
        <f t="shared" si="23"/>
        <v/>
      </c>
      <c r="AA58" s="192" t="str">
        <f t="shared" si="3"/>
        <v/>
      </c>
      <c r="AB58" s="160" t="str">
        <f t="shared" ref="AB58:AB60" si="27">IFERROR(IF(AND(Q57="Impacto",Q58="Impacto"),(AB57-(+AB57*T58)),IF(AND(Q57="Probabilidad",Q58="Impacto"),(AB56-(+AB56*T58)),IF(Q58="Probabilidad",AB57,""))),"")</f>
        <v/>
      </c>
      <c r="AC58" s="19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61"/>
      <c r="AE58" s="194"/>
      <c r="AF58" s="195"/>
      <c r="AG58" s="196"/>
      <c r="AH58" s="196"/>
      <c r="AI58" s="194"/>
      <c r="AJ58" s="195"/>
    </row>
    <row r="59" spans="1:68" ht="18" hidden="1" customHeight="1" x14ac:dyDescent="0.25">
      <c r="A59" s="277"/>
      <c r="B59" s="278"/>
      <c r="C59" s="278"/>
      <c r="D59" s="278"/>
      <c r="E59" s="312"/>
      <c r="F59" s="278"/>
      <c r="G59" s="283"/>
      <c r="H59" s="314"/>
      <c r="I59" s="309"/>
      <c r="J59" s="315"/>
      <c r="K59" s="309">
        <f>IF(NOT(ISERROR(MATCH(J59,_xlfn.ANCHORARRAY(E70),0))),I72&amp;"Por favor no seleccionar los criterios de impacto",J59)</f>
        <v>0</v>
      </c>
      <c r="L59" s="314"/>
      <c r="M59" s="309"/>
      <c r="N59" s="310"/>
      <c r="O59" s="4">
        <v>5</v>
      </c>
      <c r="P59" s="188"/>
      <c r="Q59" s="189" t="str">
        <f t="shared" si="25"/>
        <v/>
      </c>
      <c r="R59" s="190"/>
      <c r="S59" s="190"/>
      <c r="T59" s="191" t="str">
        <f t="shared" si="22"/>
        <v/>
      </c>
      <c r="U59" s="190"/>
      <c r="V59" s="190"/>
      <c r="W59" s="190"/>
      <c r="X59" s="154" t="str">
        <f t="shared" si="26"/>
        <v/>
      </c>
      <c r="Y59" s="192" t="str">
        <f t="shared" si="1"/>
        <v/>
      </c>
      <c r="Z59" s="160" t="str">
        <f t="shared" si="23"/>
        <v/>
      </c>
      <c r="AA59" s="192" t="str">
        <f t="shared" si="3"/>
        <v/>
      </c>
      <c r="AB59" s="160" t="str">
        <f t="shared" si="27"/>
        <v/>
      </c>
      <c r="AC59" s="193" t="str">
        <f t="shared" ref="AC59:AC60" si="28">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61"/>
      <c r="AE59" s="194"/>
      <c r="AF59" s="195"/>
      <c r="AG59" s="196"/>
      <c r="AH59" s="196"/>
      <c r="AI59" s="194"/>
      <c r="AJ59" s="195"/>
    </row>
    <row r="60" spans="1:68" ht="18" hidden="1" customHeight="1" x14ac:dyDescent="0.25">
      <c r="A60" s="267"/>
      <c r="B60" s="249"/>
      <c r="C60" s="249"/>
      <c r="D60" s="249"/>
      <c r="E60" s="313"/>
      <c r="F60" s="249"/>
      <c r="G60" s="263"/>
      <c r="H60" s="271"/>
      <c r="I60" s="273"/>
      <c r="J60" s="285"/>
      <c r="K60" s="273">
        <f>IF(NOT(ISERROR(MATCH(J60,_xlfn.ANCHORARRAY(E71),0))),I73&amp;"Por favor no seleccionar los criterios de impacto",J60)</f>
        <v>0</v>
      </c>
      <c r="L60" s="271"/>
      <c r="M60" s="273"/>
      <c r="N60" s="275"/>
      <c r="O60" s="4">
        <v>6</v>
      </c>
      <c r="P60" s="188"/>
      <c r="Q60" s="189" t="str">
        <f t="shared" si="25"/>
        <v/>
      </c>
      <c r="R60" s="190"/>
      <c r="S60" s="190"/>
      <c r="T60" s="191" t="str">
        <f t="shared" si="22"/>
        <v/>
      </c>
      <c r="U60" s="190"/>
      <c r="V60" s="190"/>
      <c r="W60" s="190"/>
      <c r="X60" s="154" t="str">
        <f t="shared" si="26"/>
        <v/>
      </c>
      <c r="Y60" s="192" t="str">
        <f t="shared" si="1"/>
        <v/>
      </c>
      <c r="Z60" s="160" t="str">
        <f t="shared" si="23"/>
        <v/>
      </c>
      <c r="AA60" s="192" t="str">
        <f t="shared" si="3"/>
        <v/>
      </c>
      <c r="AB60" s="160" t="str">
        <f t="shared" si="27"/>
        <v/>
      </c>
      <c r="AC60" s="193" t="str">
        <f t="shared" si="28"/>
        <v/>
      </c>
      <c r="AD60" s="161"/>
      <c r="AE60" s="194"/>
      <c r="AF60" s="195"/>
      <c r="AG60" s="196"/>
      <c r="AH60" s="196"/>
      <c r="AI60" s="194"/>
      <c r="AJ60" s="195"/>
    </row>
    <row r="61" spans="1:68" ht="49.5" customHeight="1" x14ac:dyDescent="0.25">
      <c r="A61" s="4"/>
      <c r="B61" s="306" t="s">
        <v>89</v>
      </c>
      <c r="C61" s="307"/>
      <c r="D61" s="307"/>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8"/>
    </row>
    <row r="63" spans="1:68" x14ac:dyDescent="0.25">
      <c r="A63" s="2"/>
      <c r="B63" s="21"/>
      <c r="C63" s="2"/>
      <c r="D63" s="2"/>
      <c r="F63" s="2"/>
    </row>
  </sheetData>
  <dataConsolidate/>
  <mergeCells count="319">
    <mergeCell ref="I24:I26"/>
    <mergeCell ref="J24:J26"/>
    <mergeCell ref="K24:K26"/>
    <mergeCell ref="L24:L26"/>
    <mergeCell ref="M24:M26"/>
    <mergeCell ref="A1:AE5"/>
    <mergeCell ref="W10:AB10"/>
    <mergeCell ref="A14:J14"/>
    <mergeCell ref="N7:S7"/>
    <mergeCell ref="W9:AB9"/>
    <mergeCell ref="P8:S8"/>
    <mergeCell ref="P9:S9"/>
    <mergeCell ref="P10:S10"/>
    <mergeCell ref="P11:S11"/>
    <mergeCell ref="P12:S12"/>
    <mergeCell ref="P13:S13"/>
    <mergeCell ref="A18:B18"/>
    <mergeCell ref="A19:B19"/>
    <mergeCell ref="A20:B20"/>
    <mergeCell ref="A22:A23"/>
    <mergeCell ref="F22:F23"/>
    <mergeCell ref="E22:E23"/>
    <mergeCell ref="D22:D23"/>
    <mergeCell ref="C22:C23"/>
    <mergeCell ref="AD22:AD23"/>
    <mergeCell ref="C19:N19"/>
    <mergeCell ref="C20:N20"/>
    <mergeCell ref="O22:O23"/>
    <mergeCell ref="AC22:AC23"/>
    <mergeCell ref="AB22:AB23"/>
    <mergeCell ref="X22:X23"/>
    <mergeCell ref="P22:P23"/>
    <mergeCell ref="AA22:AA23"/>
    <mergeCell ref="Y22:Y23"/>
    <mergeCell ref="Z22:Z23"/>
    <mergeCell ref="G22:G23"/>
    <mergeCell ref="H22:H23"/>
    <mergeCell ref="I22:I23"/>
    <mergeCell ref="L22:L23"/>
    <mergeCell ref="M22:M23"/>
    <mergeCell ref="A27:A29"/>
    <mergeCell ref="B27:B29"/>
    <mergeCell ref="D27:D29"/>
    <mergeCell ref="E27:E29"/>
    <mergeCell ref="AE22:AE23"/>
    <mergeCell ref="AJ22:AJ23"/>
    <mergeCell ref="AI22:AI23"/>
    <mergeCell ref="AH22:AH23"/>
    <mergeCell ref="AG22:AG23"/>
    <mergeCell ref="AF22:AF23"/>
    <mergeCell ref="B22:B23"/>
    <mergeCell ref="N22:N23"/>
    <mergeCell ref="J22:J23"/>
    <mergeCell ref="K22:K23"/>
    <mergeCell ref="Q22:Q23"/>
    <mergeCell ref="R22:W22"/>
    <mergeCell ref="F24:F26"/>
    <mergeCell ref="G24:G26"/>
    <mergeCell ref="H24:H26"/>
    <mergeCell ref="A24:A26"/>
    <mergeCell ref="B24:B26"/>
    <mergeCell ref="D24:D26"/>
    <mergeCell ref="E24:E26"/>
    <mergeCell ref="N24:N26"/>
    <mergeCell ref="K27:K29"/>
    <mergeCell ref="L27:L29"/>
    <mergeCell ref="M27:M29"/>
    <mergeCell ref="N27:N29"/>
    <mergeCell ref="F27:F29"/>
    <mergeCell ref="G27:G29"/>
    <mergeCell ref="H27:H29"/>
    <mergeCell ref="I27:I29"/>
    <mergeCell ref="J27:J29"/>
    <mergeCell ref="A33:A34"/>
    <mergeCell ref="B33:B34"/>
    <mergeCell ref="D33:D34"/>
    <mergeCell ref="E33:E34"/>
    <mergeCell ref="F33:F34"/>
    <mergeCell ref="G33:G34"/>
    <mergeCell ref="H33:H34"/>
    <mergeCell ref="A31:A32"/>
    <mergeCell ref="B31:B32"/>
    <mergeCell ref="D31:D32"/>
    <mergeCell ref="E31:E32"/>
    <mergeCell ref="F31:F32"/>
    <mergeCell ref="G31:G32"/>
    <mergeCell ref="H31:H32"/>
    <mergeCell ref="A43:A48"/>
    <mergeCell ref="B43:B48"/>
    <mergeCell ref="C43:C48"/>
    <mergeCell ref="D43:D48"/>
    <mergeCell ref="E43:E48"/>
    <mergeCell ref="A41:A42"/>
    <mergeCell ref="B41:B42"/>
    <mergeCell ref="D41:D42"/>
    <mergeCell ref="E41:E42"/>
    <mergeCell ref="M41:M42"/>
    <mergeCell ref="N41:N42"/>
    <mergeCell ref="F43:F48"/>
    <mergeCell ref="G43:G48"/>
    <mergeCell ref="H43:H48"/>
    <mergeCell ref="I43:I48"/>
    <mergeCell ref="J43:J48"/>
    <mergeCell ref="F41:F42"/>
    <mergeCell ref="G41:G42"/>
    <mergeCell ref="H41:H42"/>
    <mergeCell ref="I41:I42"/>
    <mergeCell ref="K43:K48"/>
    <mergeCell ref="L43:L48"/>
    <mergeCell ref="M43:M48"/>
    <mergeCell ref="N43:N48"/>
    <mergeCell ref="L41:L42"/>
    <mergeCell ref="J41:J42"/>
    <mergeCell ref="N55:N60"/>
    <mergeCell ref="J49:J54"/>
    <mergeCell ref="K49:K54"/>
    <mergeCell ref="L49:L54"/>
    <mergeCell ref="A49:A54"/>
    <mergeCell ref="B49:B54"/>
    <mergeCell ref="C49:C54"/>
    <mergeCell ref="D49:D54"/>
    <mergeCell ref="E49:E54"/>
    <mergeCell ref="F49:F54"/>
    <mergeCell ref="G49:G54"/>
    <mergeCell ref="H49:H54"/>
    <mergeCell ref="I49:I54"/>
    <mergeCell ref="C18:N18"/>
    <mergeCell ref="O18:Q18"/>
    <mergeCell ref="A15:AJ16"/>
    <mergeCell ref="A21:G21"/>
    <mergeCell ref="H21:N21"/>
    <mergeCell ref="O21:W21"/>
    <mergeCell ref="X21:AD21"/>
    <mergeCell ref="AE21:AJ21"/>
    <mergeCell ref="B61:AJ61"/>
    <mergeCell ref="M49:M54"/>
    <mergeCell ref="N49:N54"/>
    <mergeCell ref="A55:A60"/>
    <mergeCell ref="B55:B60"/>
    <mergeCell ref="C55:C60"/>
    <mergeCell ref="D55:D60"/>
    <mergeCell ref="E55:E60"/>
    <mergeCell ref="F55:F60"/>
    <mergeCell ref="G55:G60"/>
    <mergeCell ref="H55:H60"/>
    <mergeCell ref="I55:I60"/>
    <mergeCell ref="J55:J60"/>
    <mergeCell ref="K55:K60"/>
    <mergeCell ref="L55:L60"/>
    <mergeCell ref="M55:M60"/>
    <mergeCell ref="O41:O42"/>
    <mergeCell ref="P41:P42"/>
    <mergeCell ref="Q41:Q42"/>
    <mergeCell ref="R41:R42"/>
    <mergeCell ref="S41:S42"/>
    <mergeCell ref="T41:T42"/>
    <mergeCell ref="U41:U42"/>
    <mergeCell ref="V41:V42"/>
    <mergeCell ref="W41:W42"/>
    <mergeCell ref="AH41:AH42"/>
    <mergeCell ref="AI41:AI42"/>
    <mergeCell ref="AJ41:AJ42"/>
    <mergeCell ref="Y41:Y42"/>
    <mergeCell ref="Z41:Z42"/>
    <mergeCell ref="AA41:AA42"/>
    <mergeCell ref="AB41:AB42"/>
    <mergeCell ref="AC41:AC42"/>
    <mergeCell ref="AD41:AD42"/>
    <mergeCell ref="AE41:AE42"/>
    <mergeCell ref="AF41:AF42"/>
    <mergeCell ref="AG41:AG42"/>
    <mergeCell ref="P24:P26"/>
    <mergeCell ref="O24:O26"/>
    <mergeCell ref="R24:R26"/>
    <mergeCell ref="S24:S26"/>
    <mergeCell ref="T24:T26"/>
    <mergeCell ref="U24:U26"/>
    <mergeCell ref="V24:V26"/>
    <mergeCell ref="W24:W26"/>
    <mergeCell ref="Y24:Y26"/>
    <mergeCell ref="Z24:Z26"/>
    <mergeCell ref="AA24:AA26"/>
    <mergeCell ref="AB24:AB26"/>
    <mergeCell ref="AC24:AC26"/>
    <mergeCell ref="Q24:Q26"/>
    <mergeCell ref="AD24:AD26"/>
    <mergeCell ref="AE24:AE26"/>
    <mergeCell ref="AF24:AF26"/>
    <mergeCell ref="AG24:AG26"/>
    <mergeCell ref="AH24:AH26"/>
    <mergeCell ref="AI24:AI26"/>
    <mergeCell ref="AJ24:AJ26"/>
    <mergeCell ref="AD27:AD29"/>
    <mergeCell ref="AE27:AE29"/>
    <mergeCell ref="AF27:AF29"/>
    <mergeCell ref="AG27:AG29"/>
    <mergeCell ref="AH27:AH29"/>
    <mergeCell ref="AI27:AI29"/>
    <mergeCell ref="AJ27:AJ29"/>
    <mergeCell ref="A39:A40"/>
    <mergeCell ref="B39:B40"/>
    <mergeCell ref="D39:D40"/>
    <mergeCell ref="E39:E40"/>
    <mergeCell ref="F39:F40"/>
    <mergeCell ref="G39:G40"/>
    <mergeCell ref="H39:H40"/>
    <mergeCell ref="J39:J40"/>
    <mergeCell ref="A37:A38"/>
    <mergeCell ref="B37:B38"/>
    <mergeCell ref="D37:D38"/>
    <mergeCell ref="E37:E38"/>
    <mergeCell ref="F37:F38"/>
    <mergeCell ref="G37:G38"/>
    <mergeCell ref="H37:H38"/>
    <mergeCell ref="I37:I38"/>
    <mergeCell ref="J37:J38"/>
    <mergeCell ref="L39:L40"/>
    <mergeCell ref="M39:M40"/>
    <mergeCell ref="N39:N40"/>
    <mergeCell ref="I39:I40"/>
    <mergeCell ref="P31:P32"/>
    <mergeCell ref="O31:O32"/>
    <mergeCell ref="Q31:Q32"/>
    <mergeCell ref="R31:R32"/>
    <mergeCell ref="S31:S32"/>
    <mergeCell ref="L37:L38"/>
    <mergeCell ref="M37:M38"/>
    <mergeCell ref="N37:N38"/>
    <mergeCell ref="I33:I34"/>
    <mergeCell ref="J33:J34"/>
    <mergeCell ref="K33:K34"/>
    <mergeCell ref="L33:L34"/>
    <mergeCell ref="M33:M34"/>
    <mergeCell ref="N33:N34"/>
    <mergeCell ref="I31:I32"/>
    <mergeCell ref="J31:J32"/>
    <mergeCell ref="K31:K32"/>
    <mergeCell ref="L31:L32"/>
    <mergeCell ref="M31:M32"/>
    <mergeCell ref="N31:N32"/>
    <mergeCell ref="AI31:AI32"/>
    <mergeCell ref="AJ31:AJ32"/>
    <mergeCell ref="O33:O34"/>
    <mergeCell ref="P33:P34"/>
    <mergeCell ref="Q33:Q34"/>
    <mergeCell ref="R33:R34"/>
    <mergeCell ref="S33:S34"/>
    <mergeCell ref="T33:T34"/>
    <mergeCell ref="U33:U34"/>
    <mergeCell ref="V33:V34"/>
    <mergeCell ref="W33:W34"/>
    <mergeCell ref="Y33:Y34"/>
    <mergeCell ref="Z33:Z34"/>
    <mergeCell ref="AA33:AA34"/>
    <mergeCell ref="AB33:AB34"/>
    <mergeCell ref="AC33:AC34"/>
    <mergeCell ref="AD33:AD34"/>
    <mergeCell ref="AE33:AE34"/>
    <mergeCell ref="AF33:AF34"/>
    <mergeCell ref="T31:T32"/>
    <mergeCell ref="U31:U32"/>
    <mergeCell ref="V31:V32"/>
    <mergeCell ref="W31:W32"/>
    <mergeCell ref="Y31:Y32"/>
    <mergeCell ref="P39:P40"/>
    <mergeCell ref="O39:O40"/>
    <mergeCell ref="Q39:Q40"/>
    <mergeCell ref="Y39:Y40"/>
    <mergeCell ref="AD31:AD32"/>
    <mergeCell ref="AE31:AE32"/>
    <mergeCell ref="AF31:AF32"/>
    <mergeCell ref="AG31:AG32"/>
    <mergeCell ref="AH31:AH32"/>
    <mergeCell ref="Z31:Z32"/>
    <mergeCell ref="AA31:AA32"/>
    <mergeCell ref="AB31:AB32"/>
    <mergeCell ref="AC31:AC32"/>
    <mergeCell ref="AG33:AG34"/>
    <mergeCell ref="AH33:AH34"/>
    <mergeCell ref="AI33:AI34"/>
    <mergeCell ref="AJ33:AJ34"/>
    <mergeCell ref="P37:P38"/>
    <mergeCell ref="O37:O38"/>
    <mergeCell ref="Q37:Q38"/>
    <mergeCell ref="R37:R38"/>
    <mergeCell ref="S37:S38"/>
    <mergeCell ref="T37:T38"/>
    <mergeCell ref="U37:U38"/>
    <mergeCell ref="V37:V38"/>
    <mergeCell ref="W37:W38"/>
    <mergeCell ref="Y37:Y38"/>
    <mergeCell ref="Z37:Z38"/>
    <mergeCell ref="AA37:AA38"/>
    <mergeCell ref="AB37:AB38"/>
    <mergeCell ref="AC37:AC38"/>
    <mergeCell ref="AD37:AD38"/>
    <mergeCell ref="Z39:Z40"/>
    <mergeCell ref="AA39:AA40"/>
    <mergeCell ref="AB39:AB40"/>
    <mergeCell ref="AC39:AC40"/>
    <mergeCell ref="AD39:AD40"/>
    <mergeCell ref="R39:R40"/>
    <mergeCell ref="S39:S40"/>
    <mergeCell ref="T39:T40"/>
    <mergeCell ref="U39:U40"/>
    <mergeCell ref="V39:V40"/>
    <mergeCell ref="W39:W40"/>
    <mergeCell ref="AE37:AE38"/>
    <mergeCell ref="AF37:AF38"/>
    <mergeCell ref="AG37:AG38"/>
    <mergeCell ref="AH37:AH38"/>
    <mergeCell ref="AI37:AI38"/>
    <mergeCell ref="AJ37:AJ38"/>
    <mergeCell ref="AE39:AE40"/>
    <mergeCell ref="AF39:AF40"/>
    <mergeCell ref="AG39:AG40"/>
    <mergeCell ref="AH39:AH40"/>
    <mergeCell ref="AI39:AI40"/>
    <mergeCell ref="AJ39:AJ40"/>
  </mergeCells>
  <conditionalFormatting sqref="H24 Y24 H27 Y27:Y31 Y33 Y35:Y37 Y39 Y41">
    <cfRule type="cellIs" dxfId="91" priority="375" operator="equal">
      <formula>"Muy Alta"</formula>
    </cfRule>
    <cfRule type="cellIs" dxfId="90" priority="379" operator="equal">
      <formula>"Muy Baja"</formula>
    </cfRule>
    <cfRule type="cellIs" dxfId="89" priority="378" operator="equal">
      <formula>"Baja"</formula>
    </cfRule>
    <cfRule type="cellIs" dxfId="88" priority="377" operator="equal">
      <formula>"Media"</formula>
    </cfRule>
    <cfRule type="cellIs" dxfId="87" priority="376" operator="equal">
      <formula>"Alta"</formula>
    </cfRule>
  </conditionalFormatting>
  <conditionalFormatting sqref="H30:H31">
    <cfRule type="cellIs" dxfId="86" priority="253" operator="equal">
      <formula>"Muy Baja"</formula>
    </cfRule>
    <cfRule type="cellIs" dxfId="85" priority="251" operator="equal">
      <formula>"Media"</formula>
    </cfRule>
    <cfRule type="cellIs" dxfId="84" priority="250" operator="equal">
      <formula>"Alta"</formula>
    </cfRule>
    <cfRule type="cellIs" dxfId="83" priority="249" operator="equal">
      <formula>"Muy Alta"</formula>
    </cfRule>
    <cfRule type="cellIs" dxfId="82" priority="252" operator="equal">
      <formula>"Baja"</formula>
    </cfRule>
  </conditionalFormatting>
  <conditionalFormatting sqref="H33">
    <cfRule type="cellIs" dxfId="81" priority="225" operator="equal">
      <formula>"Muy Baja"</formula>
    </cfRule>
    <cfRule type="cellIs" dxfId="80" priority="224" operator="equal">
      <formula>"Baja"</formula>
    </cfRule>
    <cfRule type="cellIs" dxfId="79" priority="223" operator="equal">
      <formula>"Media"</formula>
    </cfRule>
    <cfRule type="cellIs" dxfId="78" priority="222" operator="equal">
      <formula>"Alta"</formula>
    </cfRule>
    <cfRule type="cellIs" dxfId="77" priority="221" operator="equal">
      <formula>"Muy Alta"</formula>
    </cfRule>
  </conditionalFormatting>
  <conditionalFormatting sqref="H35:H37 H39 H41">
    <cfRule type="cellIs" dxfId="76" priority="197" operator="equal">
      <formula>"Muy Baja"</formula>
    </cfRule>
    <cfRule type="cellIs" dxfId="75" priority="196" operator="equal">
      <formula>"Baja"</formula>
    </cfRule>
    <cfRule type="cellIs" dxfId="74" priority="195" operator="equal">
      <formula>"Media"</formula>
    </cfRule>
    <cfRule type="cellIs" dxfId="73" priority="194" operator="equal">
      <formula>"Alta"</formula>
    </cfRule>
    <cfRule type="cellIs" dxfId="72" priority="193" operator="equal">
      <formula>"Muy Alta"</formula>
    </cfRule>
  </conditionalFormatting>
  <conditionalFormatting sqref="H43">
    <cfRule type="cellIs" dxfId="71" priority="137" operator="equal">
      <formula>"Muy Alta"</formula>
    </cfRule>
    <cfRule type="cellIs" dxfId="70" priority="141" operator="equal">
      <formula>"Muy Baja"</formula>
    </cfRule>
    <cfRule type="cellIs" dxfId="69" priority="138" operator="equal">
      <formula>"Alta"</formula>
    </cfRule>
    <cfRule type="cellIs" dxfId="68" priority="139" operator="equal">
      <formula>"Media"</formula>
    </cfRule>
    <cfRule type="cellIs" dxfId="67" priority="140" operator="equal">
      <formula>"Baja"</formula>
    </cfRule>
  </conditionalFormatting>
  <conditionalFormatting sqref="H49">
    <cfRule type="cellIs" dxfId="66" priority="110" operator="equal">
      <formula>"Alta"</formula>
    </cfRule>
    <cfRule type="cellIs" dxfId="65" priority="109" operator="equal">
      <formula>"Muy Alta"</formula>
    </cfRule>
    <cfRule type="cellIs" dxfId="64" priority="111" operator="equal">
      <formula>"Media"</formula>
    </cfRule>
    <cfRule type="cellIs" dxfId="63" priority="112" operator="equal">
      <formula>"Baja"</formula>
    </cfRule>
    <cfRule type="cellIs" dxfId="62" priority="113" operator="equal">
      <formula>"Muy Baja"</formula>
    </cfRule>
  </conditionalFormatting>
  <conditionalFormatting sqref="H55">
    <cfRule type="cellIs" dxfId="61" priority="81" operator="equal">
      <formula>"Muy Alta"</formula>
    </cfRule>
    <cfRule type="cellIs" dxfId="60" priority="82" operator="equal">
      <formula>"Alta"</formula>
    </cfRule>
    <cfRule type="cellIs" dxfId="59" priority="84" operator="equal">
      <formula>"Baja"</formula>
    </cfRule>
    <cfRule type="cellIs" dxfId="58" priority="85" operator="equal">
      <formula>"Muy Baja"</formula>
    </cfRule>
    <cfRule type="cellIs" dxfId="57" priority="83" operator="equal">
      <formula>"Media"</formula>
    </cfRule>
  </conditionalFormatting>
  <conditionalFormatting sqref="K24:K60">
    <cfRule type="containsText" dxfId="56" priority="57" operator="containsText" text="❌">
      <formula>NOT(ISERROR(SEARCH("❌",K24)))</formula>
    </cfRule>
  </conditionalFormatting>
  <conditionalFormatting sqref="L24 AA24 AA27:AA31 AA33 AA35:AA37 AA39 AA41">
    <cfRule type="cellIs" dxfId="55" priority="51" operator="equal">
      <formula>"Leve"</formula>
    </cfRule>
    <cfRule type="cellIs" dxfId="54" priority="47" operator="equal">
      <formula>"Catastrófico"</formula>
    </cfRule>
    <cfRule type="cellIs" dxfId="53" priority="48" operator="equal">
      <formula>"Mayor"</formula>
    </cfRule>
    <cfRule type="cellIs" dxfId="52" priority="49" operator="equal">
      <formula>"Moderado"</formula>
    </cfRule>
    <cfRule type="cellIs" dxfId="51" priority="50" operator="equal">
      <formula>"Menor"</formula>
    </cfRule>
  </conditionalFormatting>
  <conditionalFormatting sqref="L27 L30:L31 L33 L35:L37 L39 L41 L43 L49 L55">
    <cfRule type="cellIs" dxfId="50" priority="371" operator="equal">
      <formula>"Mayor"</formula>
    </cfRule>
    <cfRule type="cellIs" dxfId="49" priority="374" operator="equal">
      <formula>"Leve"</formula>
    </cfRule>
    <cfRule type="cellIs" dxfId="48" priority="373" operator="equal">
      <formula>"Menor"</formula>
    </cfRule>
    <cfRule type="cellIs" dxfId="47" priority="372" operator="equal">
      <formula>"Moderado"</formula>
    </cfRule>
    <cfRule type="cellIs" dxfId="46" priority="370" operator="equal">
      <formula>"Catastrófico"</formula>
    </cfRule>
  </conditionalFormatting>
  <conditionalFormatting sqref="N24 AC24 AC27:AC31 AC33 AC35:AC37 AC39 AC41">
    <cfRule type="cellIs" dxfId="45" priority="44" operator="equal">
      <formula>"Alto"</formula>
    </cfRule>
    <cfRule type="cellIs" dxfId="44" priority="45" operator="equal">
      <formula>"Moderado"</formula>
    </cfRule>
    <cfRule type="cellIs" dxfId="43" priority="46" operator="equal">
      <formula>"Bajo"</formula>
    </cfRule>
    <cfRule type="cellIs" dxfId="42" priority="43" operator="equal">
      <formula>"Extremo"</formula>
    </cfRule>
  </conditionalFormatting>
  <conditionalFormatting sqref="N27">
    <cfRule type="cellIs" dxfId="41" priority="296" operator="equal">
      <formula>"Extremo"</formula>
    </cfRule>
    <cfRule type="cellIs" dxfId="40" priority="298" operator="equal">
      <formula>"Moderado"</formula>
    </cfRule>
    <cfRule type="cellIs" dxfId="39" priority="299" operator="equal">
      <formula>"Bajo"</formula>
    </cfRule>
    <cfRule type="cellIs" dxfId="38" priority="297" operator="equal">
      <formula>"Alto"</formula>
    </cfRule>
  </conditionalFormatting>
  <conditionalFormatting sqref="N30:N31">
    <cfRule type="cellIs" dxfId="37" priority="240" operator="equal">
      <formula>"Extremo"</formula>
    </cfRule>
    <cfRule type="cellIs" dxfId="36" priority="241" operator="equal">
      <formula>"Alto"</formula>
    </cfRule>
    <cfRule type="cellIs" dxfId="35" priority="242" operator="equal">
      <formula>"Moderado"</formula>
    </cfRule>
    <cfRule type="cellIs" dxfId="34" priority="243" operator="equal">
      <formula>"Bajo"</formula>
    </cfRule>
  </conditionalFormatting>
  <conditionalFormatting sqref="N33">
    <cfRule type="cellIs" dxfId="33" priority="214" operator="equal">
      <formula>"Moderado"</formula>
    </cfRule>
    <cfRule type="cellIs" dxfId="32" priority="213" operator="equal">
      <formula>"Alto"</formula>
    </cfRule>
    <cfRule type="cellIs" dxfId="31" priority="215" operator="equal">
      <formula>"Bajo"</formula>
    </cfRule>
    <cfRule type="cellIs" dxfId="30" priority="212" operator="equal">
      <formula>"Extremo"</formula>
    </cfRule>
  </conditionalFormatting>
  <conditionalFormatting sqref="N35:N37 N39 N41">
    <cfRule type="cellIs" dxfId="29" priority="184" operator="equal">
      <formula>"Extremo"</formula>
    </cfRule>
    <cfRule type="cellIs" dxfId="28" priority="185" operator="equal">
      <formula>"Alto"</formula>
    </cfRule>
    <cfRule type="cellIs" dxfId="27" priority="186" operator="equal">
      <formula>"Moderado"</formula>
    </cfRule>
    <cfRule type="cellIs" dxfId="26" priority="187" operator="equal">
      <formula>"Bajo"</formula>
    </cfRule>
  </conditionalFormatting>
  <conditionalFormatting sqref="N43">
    <cfRule type="cellIs" dxfId="25" priority="130" operator="equal">
      <formula>"Moderado"</formula>
    </cfRule>
    <cfRule type="cellIs" dxfId="24" priority="128" operator="equal">
      <formula>"Extremo"</formula>
    </cfRule>
    <cfRule type="cellIs" dxfId="23" priority="129" operator="equal">
      <formula>"Alto"</formula>
    </cfRule>
    <cfRule type="cellIs" dxfId="22" priority="131" operator="equal">
      <formula>"Bajo"</formula>
    </cfRule>
  </conditionalFormatting>
  <conditionalFormatting sqref="N49">
    <cfRule type="cellIs" dxfId="21" priority="103" operator="equal">
      <formula>"Bajo"</formula>
    </cfRule>
    <cfRule type="cellIs" dxfId="20" priority="102" operator="equal">
      <formula>"Moderado"</formula>
    </cfRule>
    <cfRule type="cellIs" dxfId="19" priority="100" operator="equal">
      <formula>"Extremo"</formula>
    </cfRule>
    <cfRule type="cellIs" dxfId="18" priority="101" operator="equal">
      <formula>"Alto"</formula>
    </cfRule>
  </conditionalFormatting>
  <conditionalFormatting sqref="N55">
    <cfRule type="cellIs" dxfId="17" priority="72" operator="equal">
      <formula>"Extremo"</formula>
    </cfRule>
    <cfRule type="cellIs" dxfId="16" priority="73" operator="equal">
      <formula>"Alto"</formula>
    </cfRule>
    <cfRule type="cellIs" dxfId="15" priority="75" operator="equal">
      <formula>"Bajo"</formula>
    </cfRule>
    <cfRule type="cellIs" dxfId="14" priority="74" operator="equal">
      <formula>"Moderado"</formula>
    </cfRule>
  </conditionalFormatting>
  <conditionalFormatting sqref="Y43:Y60">
    <cfRule type="cellIs" dxfId="13" priority="69" operator="equal">
      <formula>"Media"</formula>
    </cfRule>
    <cfRule type="cellIs" dxfId="12" priority="68" operator="equal">
      <formula>"Alta"</formula>
    </cfRule>
    <cfRule type="cellIs" dxfId="11" priority="67" operator="equal">
      <formula>"Muy Alta"</formula>
    </cfRule>
    <cfRule type="cellIs" dxfId="10" priority="71" operator="equal">
      <formula>"Muy Baja"</formula>
    </cfRule>
    <cfRule type="cellIs" dxfId="9" priority="70" operator="equal">
      <formula>"Baja"</formula>
    </cfRule>
  </conditionalFormatting>
  <conditionalFormatting sqref="AA43:AA60">
    <cfRule type="cellIs" dxfId="8" priority="66" operator="equal">
      <formula>"Leve"</formula>
    </cfRule>
    <cfRule type="cellIs" dxfId="7" priority="65" operator="equal">
      <formula>"Menor"</formula>
    </cfRule>
    <cfRule type="cellIs" dxfId="6" priority="63" operator="equal">
      <formula>"Mayor"</formula>
    </cfRule>
    <cfRule type="cellIs" dxfId="5" priority="62" operator="equal">
      <formula>"Catastrófico"</formula>
    </cfRule>
    <cfRule type="cellIs" dxfId="4" priority="64" operator="equal">
      <formula>"Moderado"</formula>
    </cfRule>
  </conditionalFormatting>
  <conditionalFormatting sqref="AC43:AC60">
    <cfRule type="cellIs" dxfId="3" priority="59" operator="equal">
      <formula>"Alto"</formula>
    </cfRule>
    <cfRule type="cellIs" dxfId="2" priority="58" operator="equal">
      <formula>"Extremo"</formula>
    </cfRule>
    <cfRule type="cellIs" dxfId="1" priority="61" operator="equal">
      <formula>"Bajo"</formula>
    </cfRule>
    <cfRule type="cellIs" dxfId="0" priority="60" operator="equal">
      <formula>"Moderado"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1">
        <x14:dataValidation type="list" allowBlank="1" showInputMessage="1" showErrorMessage="1" xr:uid="{63E0FFD3-1F82-4F0C-9BB7-4633C8C7AD30}">
          <x14:formula1>
            <xm:f>'Opciones Tratamiento'!$B$9:$B$10</xm:f>
          </x14:formula1>
          <xm:sqref>AJ58:AJ59 AJ24 AJ27 AJ35 AJ41:AJ44 AJ46:AJ47 AJ49:AJ50 AJ52:AJ53 AJ55:AJ56 AJ30:AJ33</xm:sqref>
        </x14:dataValidation>
        <x14:dataValidation type="list" allowBlank="1" showInputMessage="1" showErrorMessage="1" xr:uid="{7AFDC49E-2CBE-4918-8233-E0D8B871E18A}">
          <x14:formula1>
            <xm:f>'Opciones Tratamiento'!$B$13:$B$19</xm:f>
          </x14:formula1>
          <xm:sqref>F49:F60</xm:sqref>
        </x14:dataValidation>
        <x14:dataValidation type="list" allowBlank="1" showInputMessage="1" showErrorMessage="1" xr:uid="{98C9A1A3-7BD8-4B45-AE4A-8E2929379F95}">
          <x14:formula1>
            <xm:f>'Tabla Valoración controles'!$D$4:$D$6</xm:f>
          </x14:formula1>
          <xm:sqref>R43:R60 R24 R27:R31 R33 R35:R37 R39 R41</xm:sqref>
        </x14:dataValidation>
        <x14:dataValidation type="list" allowBlank="1" showInputMessage="1" showErrorMessage="1" xr:uid="{B6FB116F-9D82-40F9-A193-A46FE8E51CE3}">
          <x14:formula1>
            <xm:f>'Tabla Valoración controles'!$D$7:$D$8</xm:f>
          </x14:formula1>
          <xm:sqref>S43:S60 S24 S27:S31 S33 S35:S37 S39 S41</xm:sqref>
        </x14:dataValidation>
        <x14:dataValidation type="list" allowBlank="1" showInputMessage="1" showErrorMessage="1" xr:uid="{21660DE0-879B-47AA-BB53-06D966F51A07}">
          <x14:formula1>
            <xm:f>'Tabla Valoración controles'!$D$9:$D$10</xm:f>
          </x14:formula1>
          <xm:sqref>U43:U60 U24 U27:U31 U33 U35:U37 U39 U41</xm:sqref>
        </x14:dataValidation>
        <x14:dataValidation type="list" allowBlank="1" showInputMessage="1" showErrorMessage="1" xr:uid="{949C200D-C6A8-4B31-B4A3-1037159FC1C0}">
          <x14:formula1>
            <xm:f>'Tabla Valoración controles'!$D$11:$D$12</xm:f>
          </x14:formula1>
          <xm:sqref>V43:V60 V24 V27:V31 V33 V35:V37 V39 V41</xm:sqref>
        </x14:dataValidation>
        <x14:dataValidation type="list" allowBlank="1" showInputMessage="1" showErrorMessage="1" xr:uid="{362E4937-1D62-4272-B714-B11865F4AC79}">
          <x14:formula1>
            <xm:f>'Tabla Valoración controles'!$D$13:$D$14</xm:f>
          </x14:formula1>
          <xm:sqref>W43:W60 W24 W27:W31 W33 W35:W37 W39 W41</xm:sqref>
        </x14:dataValidation>
        <x14:dataValidation type="list" allowBlank="1" showInputMessage="1" showErrorMessage="1" xr:uid="{D319DC09-A991-4D21-8C05-73A015282CC1}">
          <x14:formula1>
            <xm:f>'Opciones Tratamiento'!$B$2:$B$5</xm:f>
          </x14:formula1>
          <xm:sqref>AD43:AD60 AD24 AD27 AD30:AD31 AD33 AD35:AD37 AD41 AD39</xm:sqref>
        </x14:dataValidation>
        <x14:dataValidation type="custom" allowBlank="1" showInputMessage="1" showErrorMessage="1" error="Recuerde que las acciones se generan bajo la medida de mitigar el riesgo" xr:uid="{C66445EF-8A30-479A-8068-07BF940E3F07}">
          <x14:formula1>
            <xm:f>IF(OR(AD24='Opciones Tratamiento'!$B$2,AD24='Opciones Tratamiento'!$B$3,AD24='Opciones Tratamiento'!$B$4),ISBLANK(AD24),ISTEXT(AD24))</xm:f>
          </x14:formula1>
          <xm:sqref>AE43:AE60 AE24 AE27 AE30:AE31 AE33 AE36:AE37 AE39 AE41</xm:sqref>
        </x14:dataValidation>
        <x14:dataValidation type="custom" allowBlank="1" showInputMessage="1" showErrorMessage="1" error="Recuerde que las acciones se generan bajo la medida de mitigar el riesgo" xr:uid="{6B7202CB-784D-4858-ACD0-99B403ED2B5D}">
          <x14:formula1>
            <xm:f>IF(OR(AD24='Opciones Tratamiento'!$B$2,AD24='Opciones Tratamiento'!$B$3,AD24='Opciones Tratamiento'!$B$4),ISBLANK(AD24),ISTEXT(AD24))</xm:f>
          </x14:formula1>
          <xm:sqref>AF24 AF27 AF30:AF33</xm:sqref>
        </x14:dataValidation>
        <x14:dataValidation type="custom" allowBlank="1" showInputMessage="1" showErrorMessage="1" error="Recuerde que las acciones se generan bajo la medida de mitigar el riesgo" xr:uid="{7E9702F4-D6EB-4D4F-8D66-3F7CFC2EEAE8}">
          <x14:formula1>
            <xm:f>IF(OR(AD24='Opciones Tratamiento'!$B$2,AD24='Opciones Tratamiento'!$B$3,AD24='Opciones Tratamiento'!$B$4),ISBLANK(AD24),ISTEXT(AD24))</xm:f>
          </x14:formula1>
          <xm:sqref>AG24 AG27 AG30:AG33</xm:sqref>
        </x14:dataValidation>
        <x14:dataValidation type="custom" allowBlank="1" showInputMessage="1" showErrorMessage="1" error="Recuerde que las acciones se generan bajo la medida de mitigar el riesgo" xr:uid="{3639A620-9C7E-42C9-AA8D-5849F9CAD506}">
          <x14:formula1>
            <xm:f>IF(OR(AD24='Opciones Tratamiento'!$B$2,AD24='Opciones Tratamiento'!$B$3,AD24='Opciones Tratamiento'!$B$4),ISBLANK(AD24),ISTEXT(AD24))</xm:f>
          </x14:formula1>
          <xm:sqref>AH24 AH27 AH30:AH33</xm:sqref>
        </x14:dataValidation>
        <x14:dataValidation type="custom" allowBlank="1" showInputMessage="1" showErrorMessage="1" error="Recuerde que las acciones se generan bajo la medida de mitigar el riesgo" xr:uid="{2E6A80E6-CD92-47E3-B456-0C3185B94F76}">
          <x14:formula1>
            <xm:f>IF(OR(AD24='Opciones Tratamiento'!$B$2,AD24='Opciones Tratamiento'!$B$3,AD24='Opciones Tratamiento'!$B$4),ISBLANK(AD24),ISTEXT(AD24))</xm:f>
          </x14:formula1>
          <xm:sqref>AI24 AI27 AI30:AI33</xm:sqref>
        </x14:dataValidation>
        <x14:dataValidation type="custom" allowBlank="1" showInputMessage="1" showErrorMessage="1" error="Recuerde que las acciones se generan bajo la medida de mitigar el riesgo" xr:uid="{A3CB20AA-28A3-48E5-A1E2-C4B857EA4A81}">
          <x14:formula1>
            <xm:f>IF(OR(#REF!='Opciones Tratamiento'!$B$2,#REF!='Opciones Tratamiento'!$B$3,#REF!='Opciones Tratamiento'!$B$4),ISBLANK(#REF!),ISTEXT(#REF!))</xm:f>
          </x14:formula1>
          <xm:sqref>AD35:AD37 AD39</xm:sqref>
        </x14:dataValidation>
        <x14:dataValidation type="list" allowBlank="1" showInputMessage="1" showErrorMessage="1" xr:uid="{B1ED1108-BBBE-42AF-BD1F-B9B7DBCF443A}">
          <x14:formula1>
            <xm:f>'Impacto-clasificacion'!$A$3:$A$6</xm:f>
          </x14:formula1>
          <xm:sqref>B24:B60</xm:sqref>
        </x14:dataValidation>
        <x14:dataValidation type="list" allowBlank="1" showInputMessage="1" showErrorMessage="1" xr:uid="{AD48929E-2DBF-46AB-B6C5-E05213AF99FD}">
          <x14:formula1>
            <xm:f>'Impacto-clasificacion'!$D$3:$D$10</xm:f>
          </x14:formula1>
          <xm:sqref>F24:F48</xm:sqref>
        </x14:dataValidation>
        <x14:dataValidation type="list" allowBlank="1" showInputMessage="1" showErrorMessage="1" xr:uid="{FE92147F-1EB4-4F34-ADE0-F518D9905AB5}">
          <x14:formula1>
            <xm:f>'Tabla Impacto'!$F$210:$F$227</xm:f>
          </x14:formula1>
          <xm:sqref>J24:J37 J39 J41 J43:J60</xm:sqref>
        </x14:dataValidation>
        <x14:dataValidation type="custom" allowBlank="1" showInputMessage="1" showErrorMessage="1" error="Recuerde que las acciones se generan bajo la medida de mitigar el riesgo" xr:uid="{FA738D14-F397-482E-8028-1C3E2137001F}">
          <x14:formula1>
            <xm:f>IF(OR(#REF!='Opciones Tratamiento'!$B$2,#REF!='Opciones Tratamiento'!$B$3,#REF!='Opciones Tratamiento'!$B$4),ISBLANK(#REF!),ISTEXT(#REF!))</xm:f>
          </x14:formula1>
          <xm:sqref>AF35:AF60</xm:sqref>
        </x14:dataValidation>
        <x14:dataValidation type="custom" allowBlank="1" showInputMessage="1" showErrorMessage="1" error="Recuerde que las acciones se generan bajo la medida de mitigar el riesgo" xr:uid="{797D5629-6778-4F36-822F-58B9F0597991}">
          <x14:formula1>
            <xm:f>IF(OR(#REF!='Opciones Tratamiento'!$B$2,#REF!='Opciones Tratamiento'!$B$3,#REF!='Opciones Tratamiento'!$B$4),ISBLANK(#REF!),ISTEXT(#REF!))</xm:f>
          </x14:formula1>
          <xm:sqref>AG35:AG60</xm:sqref>
        </x14:dataValidation>
        <x14:dataValidation type="custom" allowBlank="1" showInputMessage="1" showErrorMessage="1" error="Recuerde que las acciones se generan bajo la medida de mitigar el riesgo" xr:uid="{1FB293DD-A145-4CE4-89B8-C1B6EC027D45}">
          <x14:formula1>
            <xm:f>IF(OR(#REF!='Opciones Tratamiento'!$B$2,#REF!='Opciones Tratamiento'!$B$3,#REF!='Opciones Tratamiento'!$B$4),ISBLANK(#REF!),ISTEXT(#REF!))</xm:f>
          </x14:formula1>
          <xm:sqref>AH35:AH60</xm:sqref>
        </x14:dataValidation>
        <x14:dataValidation type="custom" allowBlank="1" showInputMessage="1" showErrorMessage="1" error="Recuerde que las acciones se generan bajo la medida de mitigar el riesgo" xr:uid="{508F1AE4-81C6-4092-A9D5-AC63D31D3E5E}">
          <x14:formula1>
            <xm:f>IF(OR(#REF!='Opciones Tratamiento'!$B$2,#REF!='Opciones Tratamiento'!$B$3,#REF!='Opciones Tratamiento'!$B$4),ISBLANK(#REF!),ISTEXT(#REF!))</xm:f>
          </x14:formula1>
          <xm:sqref>AI35:AI60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760AC-28F7-489F-8FA7-03900777C28F}">
  <dimension ref="A2:D10"/>
  <sheetViews>
    <sheetView workbookViewId="0">
      <selection activeCell="E12" sqref="E12"/>
    </sheetView>
  </sheetViews>
  <sheetFormatPr baseColWidth="10" defaultRowHeight="15" x14ac:dyDescent="0.25"/>
  <sheetData>
    <row r="2" spans="1:4" x14ac:dyDescent="0.25">
      <c r="A2" t="s">
        <v>13</v>
      </c>
    </row>
    <row r="3" spans="1:4" x14ac:dyDescent="0.25">
      <c r="A3" t="s">
        <v>190</v>
      </c>
      <c r="D3" t="s">
        <v>231</v>
      </c>
    </row>
    <row r="4" spans="1:4" x14ac:dyDescent="0.25">
      <c r="A4" t="s">
        <v>192</v>
      </c>
      <c r="D4" t="s">
        <v>232</v>
      </c>
    </row>
    <row r="5" spans="1:4" x14ac:dyDescent="0.25">
      <c r="A5" t="s">
        <v>194</v>
      </c>
      <c r="D5" t="s">
        <v>233</v>
      </c>
    </row>
    <row r="6" spans="1:4" x14ac:dyDescent="0.25">
      <c r="A6" t="s">
        <v>230</v>
      </c>
      <c r="D6" t="s">
        <v>202</v>
      </c>
    </row>
    <row r="7" spans="1:4" x14ac:dyDescent="0.25">
      <c r="D7" t="s">
        <v>203</v>
      </c>
    </row>
    <row r="8" spans="1:4" x14ac:dyDescent="0.25">
      <c r="D8" t="s">
        <v>204</v>
      </c>
    </row>
    <row r="9" spans="1:4" x14ac:dyDescent="0.25">
      <c r="D9" t="s">
        <v>234</v>
      </c>
    </row>
    <row r="10" spans="1:4" x14ac:dyDescent="0.25">
      <c r="D10" t="s">
        <v>235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L12" sqref="L12:M13"/>
    </sheetView>
  </sheetViews>
  <sheetFormatPr baseColWidth="10" defaultColWidth="11.42578125" defaultRowHeight="15" x14ac:dyDescent="0.25"/>
  <cols>
    <col min="2" max="39" width="5.7109375" customWidth="1"/>
    <col min="41" max="46" width="5.7109375" customWidth="1"/>
  </cols>
  <sheetData>
    <row r="1" spans="1:99" x14ac:dyDescent="0.2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row>
    <row r="2" spans="1:99" ht="18" customHeight="1" x14ac:dyDescent="0.25">
      <c r="A2" s="79"/>
      <c r="B2" s="431" t="s">
        <v>90</v>
      </c>
      <c r="C2" s="431"/>
      <c r="D2" s="431"/>
      <c r="E2" s="431"/>
      <c r="F2" s="431"/>
      <c r="G2" s="431"/>
      <c r="H2" s="431"/>
      <c r="I2" s="431"/>
      <c r="J2" s="399" t="s">
        <v>13</v>
      </c>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row>
    <row r="3" spans="1:99" ht="18.75" customHeight="1" x14ac:dyDescent="0.25">
      <c r="A3" s="79"/>
      <c r="B3" s="431"/>
      <c r="C3" s="431"/>
      <c r="D3" s="431"/>
      <c r="E3" s="431"/>
      <c r="F3" s="431"/>
      <c r="G3" s="431"/>
      <c r="H3" s="431"/>
      <c r="I3" s="431"/>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row>
    <row r="4" spans="1:99" ht="15" customHeight="1" x14ac:dyDescent="0.25">
      <c r="A4" s="79"/>
      <c r="B4" s="431"/>
      <c r="C4" s="431"/>
      <c r="D4" s="431"/>
      <c r="E4" s="431"/>
      <c r="F4" s="431"/>
      <c r="G4" s="431"/>
      <c r="H4" s="431"/>
      <c r="I4" s="431"/>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row>
    <row r="5" spans="1:99" ht="15.75" thickBot="1" x14ac:dyDescent="0.3">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row>
    <row r="6" spans="1:99" ht="15" customHeight="1" x14ac:dyDescent="0.25">
      <c r="A6" s="79"/>
      <c r="B6" s="346" t="s">
        <v>91</v>
      </c>
      <c r="C6" s="346"/>
      <c r="D6" s="347"/>
      <c r="E6" s="384" t="s">
        <v>92</v>
      </c>
      <c r="F6" s="385"/>
      <c r="G6" s="385"/>
      <c r="H6" s="385"/>
      <c r="I6" s="386"/>
      <c r="J6" s="395" t="str">
        <f>IF(AND('Mapa final'!$H$24="Muy Alta",'Mapa final'!$L$24="Leve"),CONCATENATE("R",'Mapa final'!$A$24),"")</f>
        <v>R1 
(Aplica Nivel Central y Nivel Local)</v>
      </c>
      <c r="K6" s="396"/>
      <c r="L6" s="396" t="str">
        <f>IF(AND('Mapa final'!$H$27="Muy Alta",'Mapa final'!$L$27="Leve"),CONCATENATE("R",'Mapa final'!$A$27),"")</f>
        <v/>
      </c>
      <c r="M6" s="396"/>
      <c r="N6" s="396" t="str">
        <f>IF(AND('Mapa final'!$H$30="Muy Alta",'Mapa final'!$L$30="Leve"),CONCATENATE("R",'Mapa final'!$A$30),"")</f>
        <v/>
      </c>
      <c r="O6" s="398"/>
      <c r="P6" s="395" t="str">
        <f>IF(AND('Mapa final'!$H$24="Muy Alta",'Mapa final'!$L$24="Menor"),CONCATENATE("R",'Mapa final'!$A$24),"")</f>
        <v/>
      </c>
      <c r="Q6" s="396"/>
      <c r="R6" s="396" t="str">
        <f>IF(AND('Mapa final'!$H$27="Muy Alta",'Mapa final'!$L$27="Menor"),CONCATENATE("R",'Mapa final'!$A$27),"")</f>
        <v/>
      </c>
      <c r="S6" s="396"/>
      <c r="T6" s="396" t="str">
        <f>IF(AND('Mapa final'!$H$30="Muy Alta",'Mapa final'!$L$30="Menor"),CONCATENATE("R",'Mapa final'!$A$30),"")</f>
        <v/>
      </c>
      <c r="U6" s="398"/>
      <c r="V6" s="395" t="str">
        <f>IF(AND('Mapa final'!$H$24="Muy Alta",'Mapa final'!$L$24="Moderado"),CONCATENATE("R",'Mapa final'!$A$24),"")</f>
        <v/>
      </c>
      <c r="W6" s="396"/>
      <c r="X6" s="396" t="str">
        <f>IF(AND('Mapa final'!$H$27="Muy Alta",'Mapa final'!$L$27="Moderado"),CONCATENATE("R",'Mapa final'!$A$27),"")</f>
        <v/>
      </c>
      <c r="Y6" s="396"/>
      <c r="Z6" s="396" t="str">
        <f>IF(AND('Mapa final'!$H$30="Muy Alta",'Mapa final'!$L$30="Moderado"),CONCATENATE("R",'Mapa final'!$A$30),"")</f>
        <v>R3
(Aplica Nivel Central)</v>
      </c>
      <c r="AA6" s="398"/>
      <c r="AB6" s="395" t="str">
        <f>IF(AND('Mapa final'!$H$24="Muy Alta",'Mapa final'!$L$24="Mayor"),CONCATENATE("R",'Mapa final'!$A$24),"")</f>
        <v/>
      </c>
      <c r="AC6" s="396"/>
      <c r="AD6" s="396" t="str">
        <f>IF(AND('Mapa final'!$H$27="Muy Alta",'Mapa final'!$L$27="Mayor"),CONCATENATE("R",'Mapa final'!$A$27),"")</f>
        <v/>
      </c>
      <c r="AE6" s="396"/>
      <c r="AF6" s="396" t="str">
        <f>IF(AND('Mapa final'!$H$30="Muy Alta",'Mapa final'!$L$30="Mayor"),CONCATENATE("R",'Mapa final'!$A$30),"")</f>
        <v/>
      </c>
      <c r="AG6" s="398"/>
      <c r="AH6" s="410" t="str">
        <f>IF(AND('Mapa final'!$H$24="Muy Alta",'Mapa final'!$L$24="Catastrófico"),CONCATENATE("R",'Mapa final'!$A$24),"")</f>
        <v/>
      </c>
      <c r="AI6" s="411"/>
      <c r="AJ6" s="411" t="str">
        <f>IF(AND('Mapa final'!$H$27="Muy Alta",'Mapa final'!$L$27="Catastrófico"),CONCATENATE("R",'Mapa final'!$A$27),"")</f>
        <v/>
      </c>
      <c r="AK6" s="411"/>
      <c r="AL6" s="411" t="str">
        <f>IF(AND('Mapa final'!$H$30="Muy Alta",'Mapa final'!$L$30="Catastrófico"),CONCATENATE("R",'Mapa final'!$A$30),"")</f>
        <v/>
      </c>
      <c r="AM6" s="412"/>
      <c r="AO6" s="348" t="s">
        <v>93</v>
      </c>
      <c r="AP6" s="349"/>
      <c r="AQ6" s="349"/>
      <c r="AR6" s="349"/>
      <c r="AS6" s="349"/>
      <c r="AT6" s="350"/>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row>
    <row r="7" spans="1:99" ht="15" customHeight="1" x14ac:dyDescent="0.25">
      <c r="A7" s="79"/>
      <c r="B7" s="346"/>
      <c r="C7" s="346"/>
      <c r="D7" s="347"/>
      <c r="E7" s="387"/>
      <c r="F7" s="388"/>
      <c r="G7" s="388"/>
      <c r="H7" s="388"/>
      <c r="I7" s="389"/>
      <c r="J7" s="397"/>
      <c r="K7" s="393"/>
      <c r="L7" s="393"/>
      <c r="M7" s="393"/>
      <c r="N7" s="393"/>
      <c r="O7" s="394"/>
      <c r="P7" s="397"/>
      <c r="Q7" s="393"/>
      <c r="R7" s="393"/>
      <c r="S7" s="393"/>
      <c r="T7" s="393"/>
      <c r="U7" s="394"/>
      <c r="V7" s="397"/>
      <c r="W7" s="393"/>
      <c r="X7" s="393"/>
      <c r="Y7" s="393"/>
      <c r="Z7" s="393"/>
      <c r="AA7" s="394"/>
      <c r="AB7" s="397"/>
      <c r="AC7" s="393"/>
      <c r="AD7" s="393"/>
      <c r="AE7" s="393"/>
      <c r="AF7" s="393"/>
      <c r="AG7" s="394"/>
      <c r="AH7" s="404"/>
      <c r="AI7" s="405"/>
      <c r="AJ7" s="405"/>
      <c r="AK7" s="405"/>
      <c r="AL7" s="405"/>
      <c r="AM7" s="406"/>
      <c r="AN7" s="79"/>
      <c r="AO7" s="351"/>
      <c r="AP7" s="352"/>
      <c r="AQ7" s="352"/>
      <c r="AR7" s="352"/>
      <c r="AS7" s="352"/>
      <c r="AT7" s="353"/>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row>
    <row r="8" spans="1:99" ht="15" customHeight="1" x14ac:dyDescent="0.25">
      <c r="A8" s="79"/>
      <c r="B8" s="346"/>
      <c r="C8" s="346"/>
      <c r="D8" s="347"/>
      <c r="E8" s="387"/>
      <c r="F8" s="388"/>
      <c r="G8" s="388"/>
      <c r="H8" s="388"/>
      <c r="I8" s="389"/>
      <c r="J8" s="397" t="str">
        <f>IF(AND('Mapa final'!$H$31="Muy Alta",'Mapa final'!$L$31="Leve"),CONCATENATE("R",'Mapa final'!$A$31),"")</f>
        <v/>
      </c>
      <c r="K8" s="393"/>
      <c r="L8" s="393" t="str">
        <f>IF(AND('Mapa final'!$H$33="Muy Alta",'Mapa final'!$L$33="Leve"),CONCATENATE("R",'Mapa final'!$A$33),"")</f>
        <v/>
      </c>
      <c r="M8" s="393"/>
      <c r="N8" s="393" t="str">
        <f>IF(AND('Mapa final'!$H$35="Muy Alta",'Mapa final'!$L$35="Leve"),CONCATENATE("R",'Mapa final'!$A$35),"")</f>
        <v/>
      </c>
      <c r="O8" s="394"/>
      <c r="P8" s="397" t="str">
        <f>IF(AND('Mapa final'!$H$31="Muy Alta",'Mapa final'!$L$31="Menor"),CONCATENATE("R",'Mapa final'!$A$31),"")</f>
        <v/>
      </c>
      <c r="Q8" s="393"/>
      <c r="R8" s="393" t="str">
        <f>IF(AND('Mapa final'!$H$33="Muy Alta",'Mapa final'!$L$33="Menor"),CONCATENATE("R",'Mapa final'!$A$33),"")</f>
        <v/>
      </c>
      <c r="S8" s="393"/>
      <c r="T8" s="393" t="str">
        <f>IF(AND('Mapa final'!$H$35="Muy Alta",'Mapa final'!$L$35="Menor"),CONCATENATE("R",'Mapa final'!$A$35),"")</f>
        <v/>
      </c>
      <c r="U8" s="394"/>
      <c r="V8" s="397" t="str">
        <f>IF(AND('Mapa final'!$H$31="Muy Alta",'Mapa final'!$L$31="Moderado"),CONCATENATE("R",'Mapa final'!$A$31),"")</f>
        <v/>
      </c>
      <c r="W8" s="393"/>
      <c r="X8" s="393" t="str">
        <f>IF(AND('Mapa final'!$H$33="Muy Alta",'Mapa final'!$L$33="Moderado"),CONCATENATE("R",'Mapa final'!$A$33),"")</f>
        <v/>
      </c>
      <c r="Y8" s="393"/>
      <c r="Z8" s="393" t="str">
        <f>IF(AND('Mapa final'!$H$35="Muy Alta",'Mapa final'!$L$35="Moderado"),CONCATENATE("R",'Mapa final'!$A$35),"")</f>
        <v/>
      </c>
      <c r="AA8" s="394"/>
      <c r="AB8" s="397" t="str">
        <f>IF(AND('Mapa final'!$H$31="Muy Alta",'Mapa final'!$L$31="Mayor"),CONCATENATE("R",'Mapa final'!$A$31),"")</f>
        <v/>
      </c>
      <c r="AC8" s="393"/>
      <c r="AD8" s="393" t="str">
        <f>IF(AND('Mapa final'!$H$33="Muy Alta",'Mapa final'!$L$33="Mayor"),CONCATENATE("R",'Mapa final'!$A$33),"")</f>
        <v/>
      </c>
      <c r="AE8" s="393"/>
      <c r="AF8" s="393" t="str">
        <f>IF(AND('Mapa final'!$H$35="Muy Alta",'Mapa final'!$L$35="Mayor"),CONCATENATE("R",'Mapa final'!$A$35),"")</f>
        <v/>
      </c>
      <c r="AG8" s="394"/>
      <c r="AH8" s="404" t="str">
        <f>IF(AND('Mapa final'!$H$31="Muy Alta",'Mapa final'!$L$31="Catastrófico"),CONCATENATE("R",'Mapa final'!$A$31),"")</f>
        <v/>
      </c>
      <c r="AI8" s="405"/>
      <c r="AJ8" s="405" t="str">
        <f>IF(AND('Mapa final'!$H$33="Muy Alta",'Mapa final'!$L$33="Catastrófico"),CONCATENATE("R",'Mapa final'!$A$33),"")</f>
        <v/>
      </c>
      <c r="AK8" s="405"/>
      <c r="AL8" s="405" t="str">
        <f>IF(AND('Mapa final'!$H$35="Muy Alta",'Mapa final'!$L$35="Catastrófico"),CONCATENATE("R",'Mapa final'!$A$35),"")</f>
        <v/>
      </c>
      <c r="AM8" s="406"/>
      <c r="AN8" s="79"/>
      <c r="AO8" s="351"/>
      <c r="AP8" s="352"/>
      <c r="AQ8" s="352"/>
      <c r="AR8" s="352"/>
      <c r="AS8" s="352"/>
      <c r="AT8" s="353"/>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row>
    <row r="9" spans="1:99" ht="15" customHeight="1" x14ac:dyDescent="0.25">
      <c r="A9" s="79"/>
      <c r="B9" s="346"/>
      <c r="C9" s="346"/>
      <c r="D9" s="347"/>
      <c r="E9" s="387"/>
      <c r="F9" s="388"/>
      <c r="G9" s="388"/>
      <c r="H9" s="388"/>
      <c r="I9" s="389"/>
      <c r="J9" s="397"/>
      <c r="K9" s="393"/>
      <c r="L9" s="393"/>
      <c r="M9" s="393"/>
      <c r="N9" s="393"/>
      <c r="O9" s="394"/>
      <c r="P9" s="397"/>
      <c r="Q9" s="393"/>
      <c r="R9" s="393"/>
      <c r="S9" s="393"/>
      <c r="T9" s="393"/>
      <c r="U9" s="394"/>
      <c r="V9" s="397"/>
      <c r="W9" s="393"/>
      <c r="X9" s="393"/>
      <c r="Y9" s="393"/>
      <c r="Z9" s="393"/>
      <c r="AA9" s="394"/>
      <c r="AB9" s="397"/>
      <c r="AC9" s="393"/>
      <c r="AD9" s="393"/>
      <c r="AE9" s="393"/>
      <c r="AF9" s="393"/>
      <c r="AG9" s="394"/>
      <c r="AH9" s="404"/>
      <c r="AI9" s="405"/>
      <c r="AJ9" s="405"/>
      <c r="AK9" s="405"/>
      <c r="AL9" s="405"/>
      <c r="AM9" s="406"/>
      <c r="AN9" s="79"/>
      <c r="AO9" s="351"/>
      <c r="AP9" s="352"/>
      <c r="AQ9" s="352"/>
      <c r="AR9" s="352"/>
      <c r="AS9" s="352"/>
      <c r="AT9" s="353"/>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row>
    <row r="10" spans="1:99" ht="15" customHeight="1" x14ac:dyDescent="0.25">
      <c r="A10" s="79"/>
      <c r="B10" s="346"/>
      <c r="C10" s="346"/>
      <c r="D10" s="347"/>
      <c r="E10" s="387"/>
      <c r="F10" s="388"/>
      <c r="G10" s="388"/>
      <c r="H10" s="388"/>
      <c r="I10" s="389"/>
      <c r="J10" s="397" t="str">
        <f>IF(AND('Mapa final'!$H$41="Muy Alta",'Mapa final'!$L$41="Leve"),CONCATENATE("R",'Mapa final'!$A$41),"")</f>
        <v/>
      </c>
      <c r="K10" s="393"/>
      <c r="L10" s="393" t="str">
        <f>IF(AND('Mapa final'!$H$43="Muy Alta",'Mapa final'!$L$43="Leve"),CONCATENATE("R",'Mapa final'!$A$43),"")</f>
        <v/>
      </c>
      <c r="M10" s="393"/>
      <c r="N10" s="393" t="str">
        <f>IF(AND('Mapa final'!$H$49="Muy Alta",'Mapa final'!$L$49="Leve"),CONCATENATE("R",'Mapa final'!$A$49),"")</f>
        <v/>
      </c>
      <c r="O10" s="394"/>
      <c r="P10" s="397" t="str">
        <f>IF(AND('Mapa final'!$H$41="Muy Alta",'Mapa final'!$L$41="Menor"),CONCATENATE("R",'Mapa final'!$A$41),"")</f>
        <v/>
      </c>
      <c r="Q10" s="393"/>
      <c r="R10" s="393" t="str">
        <f>IF(AND('Mapa final'!$H$43="Muy Alta",'Mapa final'!$L$43="Menor"),CONCATENATE("R",'Mapa final'!$A$43),"")</f>
        <v/>
      </c>
      <c r="S10" s="393"/>
      <c r="T10" s="393" t="str">
        <f>IF(AND('Mapa final'!$H$49="Muy Alta",'Mapa final'!$L$49="Menor"),CONCATENATE("R",'Mapa final'!$A$49),"")</f>
        <v/>
      </c>
      <c r="U10" s="394"/>
      <c r="V10" s="397" t="str">
        <f>IF(AND('Mapa final'!$H$41="Muy Alta",'Mapa final'!$L$41="Moderado"),CONCATENATE("R",'Mapa final'!$A$41),"")</f>
        <v/>
      </c>
      <c r="W10" s="393"/>
      <c r="X10" s="393" t="str">
        <f>IF(AND('Mapa final'!$H$43="Muy Alta",'Mapa final'!$L$43="Moderado"),CONCATENATE("R",'Mapa final'!$A$43),"")</f>
        <v/>
      </c>
      <c r="Y10" s="393"/>
      <c r="Z10" s="393" t="str">
        <f>IF(AND('Mapa final'!$H$49="Muy Alta",'Mapa final'!$L$49="Moderado"),CONCATENATE("R",'Mapa final'!$A$49),"")</f>
        <v/>
      </c>
      <c r="AA10" s="394"/>
      <c r="AB10" s="397" t="str">
        <f>IF(AND('Mapa final'!$H$41="Muy Alta",'Mapa final'!$L$41="Mayor"),CONCATENATE("R",'Mapa final'!$A$41),"")</f>
        <v/>
      </c>
      <c r="AC10" s="393"/>
      <c r="AD10" s="393" t="str">
        <f>IF(AND('Mapa final'!$H$43="Muy Alta",'Mapa final'!$L$43="Mayor"),CONCATENATE("R",'Mapa final'!$A$43),"")</f>
        <v/>
      </c>
      <c r="AE10" s="393"/>
      <c r="AF10" s="393" t="str">
        <f>IF(AND('Mapa final'!$H$49="Muy Alta",'Mapa final'!$L$49="Mayor"),CONCATENATE("R",'Mapa final'!$A$49),"")</f>
        <v/>
      </c>
      <c r="AG10" s="394"/>
      <c r="AH10" s="404" t="str">
        <f>IF(AND('Mapa final'!$H$41="Muy Alta",'Mapa final'!$L$41="Catastrófico"),CONCATENATE("R",'Mapa final'!$A$41),"")</f>
        <v/>
      </c>
      <c r="AI10" s="405"/>
      <c r="AJ10" s="405" t="str">
        <f>IF(AND('Mapa final'!$H$43="Muy Alta",'Mapa final'!$L$43="Catastrófico"),CONCATENATE("R",'Mapa final'!$A$43),"")</f>
        <v/>
      </c>
      <c r="AK10" s="405"/>
      <c r="AL10" s="405" t="str">
        <f>IF(AND('Mapa final'!$H$49="Muy Alta",'Mapa final'!$L$49="Catastrófico"),CONCATENATE("R",'Mapa final'!$A$49),"")</f>
        <v/>
      </c>
      <c r="AM10" s="406"/>
      <c r="AN10" s="79"/>
      <c r="AO10" s="351"/>
      <c r="AP10" s="352"/>
      <c r="AQ10" s="352"/>
      <c r="AR10" s="352"/>
      <c r="AS10" s="352"/>
      <c r="AT10" s="353"/>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row>
    <row r="11" spans="1:99" ht="15" customHeight="1" x14ac:dyDescent="0.25">
      <c r="A11" s="79"/>
      <c r="B11" s="346"/>
      <c r="C11" s="346"/>
      <c r="D11" s="347"/>
      <c r="E11" s="387"/>
      <c r="F11" s="388"/>
      <c r="G11" s="388"/>
      <c r="H11" s="388"/>
      <c r="I11" s="389"/>
      <c r="J11" s="397"/>
      <c r="K11" s="393"/>
      <c r="L11" s="393"/>
      <c r="M11" s="393"/>
      <c r="N11" s="393"/>
      <c r="O11" s="394"/>
      <c r="P11" s="397"/>
      <c r="Q11" s="393"/>
      <c r="R11" s="393"/>
      <c r="S11" s="393"/>
      <c r="T11" s="393"/>
      <c r="U11" s="394"/>
      <c r="V11" s="397"/>
      <c r="W11" s="393"/>
      <c r="X11" s="393"/>
      <c r="Y11" s="393"/>
      <c r="Z11" s="393"/>
      <c r="AA11" s="394"/>
      <c r="AB11" s="397"/>
      <c r="AC11" s="393"/>
      <c r="AD11" s="393"/>
      <c r="AE11" s="393"/>
      <c r="AF11" s="393"/>
      <c r="AG11" s="394"/>
      <c r="AH11" s="404"/>
      <c r="AI11" s="405"/>
      <c r="AJ11" s="405"/>
      <c r="AK11" s="405"/>
      <c r="AL11" s="405"/>
      <c r="AM11" s="406"/>
      <c r="AN11" s="79"/>
      <c r="AO11" s="351"/>
      <c r="AP11" s="352"/>
      <c r="AQ11" s="352"/>
      <c r="AR11" s="352"/>
      <c r="AS11" s="352"/>
      <c r="AT11" s="353"/>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row>
    <row r="12" spans="1:99" ht="15" customHeight="1" x14ac:dyDescent="0.25">
      <c r="A12" s="79"/>
      <c r="B12" s="346"/>
      <c r="C12" s="346"/>
      <c r="D12" s="347"/>
      <c r="E12" s="387"/>
      <c r="F12" s="388"/>
      <c r="G12" s="388"/>
      <c r="H12" s="388"/>
      <c r="I12" s="389"/>
      <c r="J12" s="397" t="str">
        <f>IF(AND('Mapa final'!$H$55="Muy Alta",'Mapa final'!$L$55="Leve"),CONCATENATE("R",'Mapa final'!$A$55),"")</f>
        <v/>
      </c>
      <c r="K12" s="393"/>
      <c r="L12" s="393" t="str">
        <f>IF(AND('Mapa final'!$H$61="Muy Alta",'Mapa final'!$L$61="Leve"),CONCATENATE("R",'Mapa final'!$A$61),"")</f>
        <v/>
      </c>
      <c r="M12" s="393"/>
      <c r="N12" s="393" t="str">
        <f>IF(AND('Mapa final'!$H$67="Muy Alta",'Mapa final'!$L$67="Leve"),CONCATENATE("R",'Mapa final'!$A$67),"")</f>
        <v/>
      </c>
      <c r="O12" s="394"/>
      <c r="P12" s="397" t="str">
        <f>IF(AND('Mapa final'!$H$55="Muy Alta",'Mapa final'!$L$55="Menor"),CONCATENATE("R",'Mapa final'!$A$55),"")</f>
        <v/>
      </c>
      <c r="Q12" s="393"/>
      <c r="R12" s="393" t="str">
        <f>IF(AND('Mapa final'!$H$61="Muy Alta",'Mapa final'!$L$61="Menor"),CONCATENATE("R",'Mapa final'!$A$61),"")</f>
        <v/>
      </c>
      <c r="S12" s="393"/>
      <c r="T12" s="393" t="str">
        <f>IF(AND('Mapa final'!$H$67="Muy Alta",'Mapa final'!$L$67="Menor"),CONCATENATE("R",'Mapa final'!$A$67),"")</f>
        <v/>
      </c>
      <c r="U12" s="394"/>
      <c r="V12" s="397" t="str">
        <f>IF(AND('Mapa final'!$H$55="Muy Alta",'Mapa final'!$L$55="Moderado"),CONCATENATE("R",'Mapa final'!$A$55),"")</f>
        <v/>
      </c>
      <c r="W12" s="393"/>
      <c r="X12" s="393" t="str">
        <f>IF(AND('Mapa final'!$H$61="Muy Alta",'Mapa final'!$L$61="Moderado"),CONCATENATE("R",'Mapa final'!$A$61),"")</f>
        <v/>
      </c>
      <c r="Y12" s="393"/>
      <c r="Z12" s="393" t="str">
        <f>IF(AND('Mapa final'!$H$67="Muy Alta",'Mapa final'!$L$67="Moderado"),CONCATENATE("R",'Mapa final'!$A$67),"")</f>
        <v/>
      </c>
      <c r="AA12" s="394"/>
      <c r="AB12" s="397" t="str">
        <f>IF(AND('Mapa final'!$H$55="Muy Alta",'Mapa final'!$L$55="Mayor"),CONCATENATE("R",'Mapa final'!$A$55),"")</f>
        <v/>
      </c>
      <c r="AC12" s="393"/>
      <c r="AD12" s="393" t="str">
        <f>IF(AND('Mapa final'!$H$61="Muy Alta",'Mapa final'!$L$61="Mayor"),CONCATENATE("R",'Mapa final'!$A$61),"")</f>
        <v/>
      </c>
      <c r="AE12" s="393"/>
      <c r="AF12" s="393" t="str">
        <f>IF(AND('Mapa final'!$H$67="Muy Alta",'Mapa final'!$L$67="Mayor"),CONCATENATE("R",'Mapa final'!$A$67),"")</f>
        <v/>
      </c>
      <c r="AG12" s="394"/>
      <c r="AH12" s="404" t="str">
        <f>IF(AND('Mapa final'!$H$55="Muy Alta",'Mapa final'!$L$55="Catastrófico"),CONCATENATE("R",'Mapa final'!$A$55),"")</f>
        <v/>
      </c>
      <c r="AI12" s="405"/>
      <c r="AJ12" s="405" t="str">
        <f>IF(AND('Mapa final'!$H$61="Muy Alta",'Mapa final'!$L$61="Catastrófico"),CONCATENATE("R",'Mapa final'!$A$61),"")</f>
        <v/>
      </c>
      <c r="AK12" s="405"/>
      <c r="AL12" s="405" t="str">
        <f>IF(AND('Mapa final'!$H$67="Muy Alta",'Mapa final'!$L$67="Catastrófico"),CONCATENATE("R",'Mapa final'!$A$67),"")</f>
        <v/>
      </c>
      <c r="AM12" s="406"/>
      <c r="AN12" s="79"/>
      <c r="AO12" s="351"/>
      <c r="AP12" s="352"/>
      <c r="AQ12" s="352"/>
      <c r="AR12" s="352"/>
      <c r="AS12" s="352"/>
      <c r="AT12" s="353"/>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row>
    <row r="13" spans="1:99" ht="15.75" customHeight="1" thickBot="1" x14ac:dyDescent="0.3">
      <c r="A13" s="79"/>
      <c r="B13" s="346"/>
      <c r="C13" s="346"/>
      <c r="D13" s="347"/>
      <c r="E13" s="390"/>
      <c r="F13" s="391"/>
      <c r="G13" s="391"/>
      <c r="H13" s="391"/>
      <c r="I13" s="392"/>
      <c r="J13" s="397"/>
      <c r="K13" s="393"/>
      <c r="L13" s="393"/>
      <c r="M13" s="393"/>
      <c r="N13" s="393"/>
      <c r="O13" s="394"/>
      <c r="P13" s="397"/>
      <c r="Q13" s="393"/>
      <c r="R13" s="393"/>
      <c r="S13" s="393"/>
      <c r="T13" s="393"/>
      <c r="U13" s="394"/>
      <c r="V13" s="397"/>
      <c r="W13" s="393"/>
      <c r="X13" s="393"/>
      <c r="Y13" s="393"/>
      <c r="Z13" s="393"/>
      <c r="AA13" s="394"/>
      <c r="AB13" s="397"/>
      <c r="AC13" s="393"/>
      <c r="AD13" s="393"/>
      <c r="AE13" s="393"/>
      <c r="AF13" s="393"/>
      <c r="AG13" s="394"/>
      <c r="AH13" s="407"/>
      <c r="AI13" s="408"/>
      <c r="AJ13" s="408"/>
      <c r="AK13" s="408"/>
      <c r="AL13" s="408"/>
      <c r="AM13" s="409"/>
      <c r="AN13" s="79"/>
      <c r="AO13" s="354"/>
      <c r="AP13" s="355"/>
      <c r="AQ13" s="355"/>
      <c r="AR13" s="355"/>
      <c r="AS13" s="355"/>
      <c r="AT13" s="356"/>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row>
    <row r="14" spans="1:99" ht="15" customHeight="1" x14ac:dyDescent="0.25">
      <c r="A14" s="79"/>
      <c r="B14" s="346"/>
      <c r="C14" s="346"/>
      <c r="D14" s="347"/>
      <c r="E14" s="384" t="s">
        <v>94</v>
      </c>
      <c r="F14" s="385"/>
      <c r="G14" s="385"/>
      <c r="H14" s="385"/>
      <c r="I14" s="385"/>
      <c r="J14" s="419" t="str">
        <f>IF(AND('Mapa final'!$H$24="Alta",'Mapa final'!$L$24="Leve"),CONCATENATE("R",'Mapa final'!$A$24),"")</f>
        <v/>
      </c>
      <c r="K14" s="420"/>
      <c r="L14" s="420" t="str">
        <f>IF(AND('Mapa final'!$H$27="Alta",'Mapa final'!$L$27="Leve"),CONCATENATE("R",'Mapa final'!$A$27),"")</f>
        <v/>
      </c>
      <c r="M14" s="420"/>
      <c r="N14" s="420" t="str">
        <f>IF(AND('Mapa final'!$H$30="Alta",'Mapa final'!$L$30="Leve"),CONCATENATE("R",'Mapa final'!$A$30),"")</f>
        <v/>
      </c>
      <c r="O14" s="421"/>
      <c r="P14" s="419" t="str">
        <f>IF(AND('Mapa final'!$H$24="Alta",'Mapa final'!$L$24="Menor"),CONCATENATE("R",'Mapa final'!$A$24),"")</f>
        <v/>
      </c>
      <c r="Q14" s="420"/>
      <c r="R14" s="420" t="str">
        <f>IF(AND('Mapa final'!$H$27="Alta",'Mapa final'!$L$27="Menor"),CONCATENATE("R",'Mapa final'!$A$27),"")</f>
        <v/>
      </c>
      <c r="S14" s="420"/>
      <c r="T14" s="420" t="str">
        <f>IF(AND('Mapa final'!$H$30="Alta",'Mapa final'!$L$30="Menor"),CONCATENATE("R",'Mapa final'!$A$30),"")</f>
        <v/>
      </c>
      <c r="U14" s="421"/>
      <c r="V14" s="395" t="str">
        <f>IF(AND('Mapa final'!$H$24="Alta",'Mapa final'!$L$24="Moderado"),CONCATENATE("R",'Mapa final'!$A$24),"")</f>
        <v/>
      </c>
      <c r="W14" s="396"/>
      <c r="X14" s="396" t="str">
        <f>IF(AND('Mapa final'!$H$27="Alta",'Mapa final'!$L$27="Moderado"),CONCATENATE("R",'Mapa final'!$A$27),"")</f>
        <v>R2
(Aplica Nivel Central y Nivel Local)</v>
      </c>
      <c r="Y14" s="396"/>
      <c r="Z14" s="396" t="str">
        <f>IF(AND('Mapa final'!$H$30="Alta",'Mapa final'!$L$30="Moderado"),CONCATENATE("R",'Mapa final'!$A$30),"")</f>
        <v/>
      </c>
      <c r="AA14" s="398"/>
      <c r="AB14" s="395" t="str">
        <f>IF(AND('Mapa final'!$H$24="Alta",'Mapa final'!$L$24="Mayor"),CONCATENATE("R",'Mapa final'!$A$24),"")</f>
        <v/>
      </c>
      <c r="AC14" s="396"/>
      <c r="AD14" s="396" t="str">
        <f>IF(AND('Mapa final'!$H$27="Alta",'Mapa final'!$L$27="Mayor"),CONCATENATE("R",'Mapa final'!$A$27),"")</f>
        <v/>
      </c>
      <c r="AE14" s="396"/>
      <c r="AF14" s="396" t="str">
        <f>IF(AND('Mapa final'!$H$30="Alta",'Mapa final'!$L$30="Mayor"),CONCATENATE("R",'Mapa final'!$A$30),"")</f>
        <v/>
      </c>
      <c r="AG14" s="398"/>
      <c r="AH14" s="410" t="str">
        <f>IF(AND('Mapa final'!$H$24="Alta",'Mapa final'!$L$24="Catastrófico"),CONCATENATE("R",'Mapa final'!$A$24),"")</f>
        <v/>
      </c>
      <c r="AI14" s="411"/>
      <c r="AJ14" s="411" t="str">
        <f>IF(AND('Mapa final'!$H$27="Alta",'Mapa final'!$L$27="Catastrófico"),CONCATENATE("R",'Mapa final'!$A$27),"")</f>
        <v/>
      </c>
      <c r="AK14" s="411"/>
      <c r="AL14" s="411" t="str">
        <f>IF(AND('Mapa final'!$H$30="Alta",'Mapa final'!$L$30="Catastrófico"),CONCATENATE("R",'Mapa final'!$A$30),"")</f>
        <v/>
      </c>
      <c r="AM14" s="412"/>
      <c r="AN14" s="79"/>
      <c r="AO14" s="357" t="s">
        <v>95</v>
      </c>
      <c r="AP14" s="358"/>
      <c r="AQ14" s="358"/>
      <c r="AR14" s="358"/>
      <c r="AS14" s="358"/>
      <c r="AT14" s="35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row>
    <row r="15" spans="1:99" ht="15" customHeight="1" x14ac:dyDescent="0.25">
      <c r="A15" s="79"/>
      <c r="B15" s="346"/>
      <c r="C15" s="346"/>
      <c r="D15" s="347"/>
      <c r="E15" s="387"/>
      <c r="F15" s="388"/>
      <c r="G15" s="388"/>
      <c r="H15" s="388"/>
      <c r="I15" s="388"/>
      <c r="J15" s="413"/>
      <c r="K15" s="414"/>
      <c r="L15" s="414"/>
      <c r="M15" s="414"/>
      <c r="N15" s="414"/>
      <c r="O15" s="415"/>
      <c r="P15" s="413"/>
      <c r="Q15" s="414"/>
      <c r="R15" s="414"/>
      <c r="S15" s="414"/>
      <c r="T15" s="414"/>
      <c r="U15" s="415"/>
      <c r="V15" s="397"/>
      <c r="W15" s="393"/>
      <c r="X15" s="393"/>
      <c r="Y15" s="393"/>
      <c r="Z15" s="393"/>
      <c r="AA15" s="394"/>
      <c r="AB15" s="397"/>
      <c r="AC15" s="393"/>
      <c r="AD15" s="393"/>
      <c r="AE15" s="393"/>
      <c r="AF15" s="393"/>
      <c r="AG15" s="394"/>
      <c r="AH15" s="404"/>
      <c r="AI15" s="405"/>
      <c r="AJ15" s="405"/>
      <c r="AK15" s="405"/>
      <c r="AL15" s="405"/>
      <c r="AM15" s="406"/>
      <c r="AN15" s="79"/>
      <c r="AO15" s="360"/>
      <c r="AP15" s="361"/>
      <c r="AQ15" s="361"/>
      <c r="AR15" s="361"/>
      <c r="AS15" s="361"/>
      <c r="AT15" s="362"/>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row>
    <row r="16" spans="1:99" ht="15" customHeight="1" x14ac:dyDescent="0.25">
      <c r="A16" s="79"/>
      <c r="B16" s="346"/>
      <c r="C16" s="346"/>
      <c r="D16" s="347"/>
      <c r="E16" s="387"/>
      <c r="F16" s="388"/>
      <c r="G16" s="388"/>
      <c r="H16" s="388"/>
      <c r="I16" s="388"/>
      <c r="J16" s="413" t="str">
        <f>IF(AND('Mapa final'!$H$31="Alta",'Mapa final'!$L$31="Leve"),CONCATENATE("R",'Mapa final'!$A$31),"")</f>
        <v/>
      </c>
      <c r="K16" s="414"/>
      <c r="L16" s="414" t="str">
        <f>IF(AND('Mapa final'!$H$33="Alta",'Mapa final'!$L$33="Leve"),CONCATENATE("R",'Mapa final'!$A$33),"")</f>
        <v/>
      </c>
      <c r="M16" s="414"/>
      <c r="N16" s="414" t="str">
        <f>IF(AND('Mapa final'!$H$35="Alta",'Mapa final'!$L$35="Leve"),CONCATENATE("R",'Mapa final'!$A$35),"")</f>
        <v/>
      </c>
      <c r="O16" s="415"/>
      <c r="P16" s="413" t="str">
        <f>IF(AND('Mapa final'!$H$31="Alta",'Mapa final'!$L$31="Menor"),CONCATENATE("R",'Mapa final'!$A$31),"")</f>
        <v/>
      </c>
      <c r="Q16" s="414"/>
      <c r="R16" s="414" t="str">
        <f>IF(AND('Mapa final'!$H$33="Alta",'Mapa final'!$L$33="Menor"),CONCATENATE("R",'Mapa final'!$A$33),"")</f>
        <v/>
      </c>
      <c r="S16" s="414"/>
      <c r="T16" s="414" t="str">
        <f>IF(AND('Mapa final'!$H$35="Alta",'Mapa final'!$L$35="Menor"),CONCATENATE("R",'Mapa final'!$A$35),"")</f>
        <v/>
      </c>
      <c r="U16" s="415"/>
      <c r="V16" s="397" t="str">
        <f>IF(AND('Mapa final'!$H$31="Alta",'Mapa final'!$L$31="Moderado"),CONCATENATE("R",'Mapa final'!$A$31),"")</f>
        <v/>
      </c>
      <c r="W16" s="393"/>
      <c r="X16" s="393" t="str">
        <f>IF(AND('Mapa final'!$H$33="Alta",'Mapa final'!$L$33="Moderado"),CONCATENATE("R",'Mapa final'!$A$33),"")</f>
        <v/>
      </c>
      <c r="Y16" s="393"/>
      <c r="Z16" s="393" t="str">
        <f>IF(AND('Mapa final'!$H$35="Alta",'Mapa final'!$L$35="Moderado"),CONCATENATE("R",'Mapa final'!$A$35),"")</f>
        <v/>
      </c>
      <c r="AA16" s="394"/>
      <c r="AB16" s="397" t="str">
        <f>IF(AND('Mapa final'!$H$31="Alta",'Mapa final'!$L$31="Mayor"),CONCATENATE("R",'Mapa final'!$A$31),"")</f>
        <v/>
      </c>
      <c r="AC16" s="393"/>
      <c r="AD16" s="393" t="str">
        <f>IF(AND('Mapa final'!$H$33="Alta",'Mapa final'!$L$33="Mayor"),CONCATENATE("R",'Mapa final'!$A$33),"")</f>
        <v/>
      </c>
      <c r="AE16" s="393"/>
      <c r="AF16" s="393" t="str">
        <f>IF(AND('Mapa final'!$H$35="Alta",'Mapa final'!$L$35="Mayor"),CONCATENATE("R",'Mapa final'!$A$35),"")</f>
        <v/>
      </c>
      <c r="AG16" s="394"/>
      <c r="AH16" s="404" t="str">
        <f>IF(AND('Mapa final'!$H$31="Alta",'Mapa final'!$L$31="Catastrófico"),CONCATENATE("R",'Mapa final'!$A$31),"")</f>
        <v/>
      </c>
      <c r="AI16" s="405"/>
      <c r="AJ16" s="405" t="str">
        <f>IF(AND('Mapa final'!$H$33="Alta",'Mapa final'!$L$33="Catastrófico"),CONCATENATE("R",'Mapa final'!$A$33),"")</f>
        <v/>
      </c>
      <c r="AK16" s="405"/>
      <c r="AL16" s="405" t="str">
        <f>IF(AND('Mapa final'!$H$35="Alta",'Mapa final'!$L$35="Catastrófico"),CONCATENATE("R",'Mapa final'!$A$35),"")</f>
        <v/>
      </c>
      <c r="AM16" s="406"/>
      <c r="AN16" s="79"/>
      <c r="AO16" s="360"/>
      <c r="AP16" s="361"/>
      <c r="AQ16" s="361"/>
      <c r="AR16" s="361"/>
      <c r="AS16" s="361"/>
      <c r="AT16" s="362"/>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row>
    <row r="17" spans="1:80" ht="15" customHeight="1" x14ac:dyDescent="0.25">
      <c r="A17" s="79"/>
      <c r="B17" s="346"/>
      <c r="C17" s="346"/>
      <c r="D17" s="347"/>
      <c r="E17" s="387"/>
      <c r="F17" s="388"/>
      <c r="G17" s="388"/>
      <c r="H17" s="388"/>
      <c r="I17" s="388"/>
      <c r="J17" s="413"/>
      <c r="K17" s="414"/>
      <c r="L17" s="414"/>
      <c r="M17" s="414"/>
      <c r="N17" s="414"/>
      <c r="O17" s="415"/>
      <c r="P17" s="413"/>
      <c r="Q17" s="414"/>
      <c r="R17" s="414"/>
      <c r="S17" s="414"/>
      <c r="T17" s="414"/>
      <c r="U17" s="415"/>
      <c r="V17" s="397"/>
      <c r="W17" s="393"/>
      <c r="X17" s="393"/>
      <c r="Y17" s="393"/>
      <c r="Z17" s="393"/>
      <c r="AA17" s="394"/>
      <c r="AB17" s="397"/>
      <c r="AC17" s="393"/>
      <c r="AD17" s="393"/>
      <c r="AE17" s="393"/>
      <c r="AF17" s="393"/>
      <c r="AG17" s="394"/>
      <c r="AH17" s="404"/>
      <c r="AI17" s="405"/>
      <c r="AJ17" s="405"/>
      <c r="AK17" s="405"/>
      <c r="AL17" s="405"/>
      <c r="AM17" s="406"/>
      <c r="AN17" s="79"/>
      <c r="AO17" s="360"/>
      <c r="AP17" s="361"/>
      <c r="AQ17" s="361"/>
      <c r="AR17" s="361"/>
      <c r="AS17" s="361"/>
      <c r="AT17" s="362"/>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row>
    <row r="18" spans="1:80" ht="15" customHeight="1" x14ac:dyDescent="0.25">
      <c r="A18" s="79"/>
      <c r="B18" s="346"/>
      <c r="C18" s="346"/>
      <c r="D18" s="347"/>
      <c r="E18" s="387"/>
      <c r="F18" s="388"/>
      <c r="G18" s="388"/>
      <c r="H18" s="388"/>
      <c r="I18" s="388"/>
      <c r="J18" s="413" t="str">
        <f>IF(AND('Mapa final'!$H$41="Alta",'Mapa final'!$L$41="Leve"),CONCATENATE("R",'Mapa final'!$A$41),"")</f>
        <v/>
      </c>
      <c r="K18" s="414"/>
      <c r="L18" s="414" t="str">
        <f>IF(AND('Mapa final'!$H$43="Alta",'Mapa final'!$L$43="Leve"),CONCATENATE("R",'Mapa final'!$A$43),"")</f>
        <v/>
      </c>
      <c r="M18" s="414"/>
      <c r="N18" s="414" t="str">
        <f>IF(AND('Mapa final'!$H$49="Alta",'Mapa final'!$L$49="Leve"),CONCATENATE("R",'Mapa final'!$A$49),"")</f>
        <v/>
      </c>
      <c r="O18" s="415"/>
      <c r="P18" s="413" t="str">
        <f>IF(AND('Mapa final'!$H$41="Alta",'Mapa final'!$L$41="Menor"),CONCATENATE("R",'Mapa final'!$A$41),"")</f>
        <v/>
      </c>
      <c r="Q18" s="414"/>
      <c r="R18" s="414" t="str">
        <f>IF(AND('Mapa final'!$H$43="Alta",'Mapa final'!$L$43="Menor"),CONCATENATE("R",'Mapa final'!$A$43),"")</f>
        <v/>
      </c>
      <c r="S18" s="414"/>
      <c r="T18" s="414" t="str">
        <f>IF(AND('Mapa final'!$H$49="Alta",'Mapa final'!$L$49="Menor"),CONCATENATE("R",'Mapa final'!$A$49),"")</f>
        <v/>
      </c>
      <c r="U18" s="415"/>
      <c r="V18" s="397" t="str">
        <f>IF(AND('Mapa final'!$H$41="Alta",'Mapa final'!$L$41="Moderado"),CONCATENATE("R",'Mapa final'!$A$41),"")</f>
        <v/>
      </c>
      <c r="W18" s="393"/>
      <c r="X18" s="393" t="str">
        <f>IF(AND('Mapa final'!$H$43="Alta",'Mapa final'!$L$43="Moderado"),CONCATENATE("R",'Mapa final'!$A$43),"")</f>
        <v/>
      </c>
      <c r="Y18" s="393"/>
      <c r="Z18" s="393" t="str">
        <f>IF(AND('Mapa final'!$H$49="Alta",'Mapa final'!$L$49="Moderado"),CONCATENATE("R",'Mapa final'!$A$49),"")</f>
        <v/>
      </c>
      <c r="AA18" s="394"/>
      <c r="AB18" s="397" t="str">
        <f>IF(AND('Mapa final'!$H$41="Alta",'Mapa final'!$L$41="Mayor"),CONCATENATE("R",'Mapa final'!$A$41),"")</f>
        <v/>
      </c>
      <c r="AC18" s="393"/>
      <c r="AD18" s="393" t="str">
        <f>IF(AND('Mapa final'!$H$43="Alta",'Mapa final'!$L$43="Mayor"),CONCATENATE("R",'Mapa final'!$A$43),"")</f>
        <v/>
      </c>
      <c r="AE18" s="393"/>
      <c r="AF18" s="393" t="str">
        <f>IF(AND('Mapa final'!$H$49="Alta",'Mapa final'!$L$49="Mayor"),CONCATENATE("R",'Mapa final'!$A$49),"")</f>
        <v/>
      </c>
      <c r="AG18" s="394"/>
      <c r="AH18" s="404" t="str">
        <f>IF(AND('Mapa final'!$H$41="Alta",'Mapa final'!$L$41="Catastrófico"),CONCATENATE("R",'Mapa final'!$A$41),"")</f>
        <v/>
      </c>
      <c r="AI18" s="405"/>
      <c r="AJ18" s="405" t="str">
        <f>IF(AND('Mapa final'!$H$43="Alta",'Mapa final'!$L$43="Catastrófico"),CONCATENATE("R",'Mapa final'!$A$43),"")</f>
        <v/>
      </c>
      <c r="AK18" s="405"/>
      <c r="AL18" s="405" t="str">
        <f>IF(AND('Mapa final'!$H$49="Alta",'Mapa final'!$L$49="Catastrófico"),CONCATENATE("R",'Mapa final'!$A$49),"")</f>
        <v/>
      </c>
      <c r="AM18" s="406"/>
      <c r="AN18" s="79"/>
      <c r="AO18" s="360"/>
      <c r="AP18" s="361"/>
      <c r="AQ18" s="361"/>
      <c r="AR18" s="361"/>
      <c r="AS18" s="361"/>
      <c r="AT18" s="362"/>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row>
    <row r="19" spans="1:80" ht="15" customHeight="1" x14ac:dyDescent="0.25">
      <c r="A19" s="79"/>
      <c r="B19" s="346"/>
      <c r="C19" s="346"/>
      <c r="D19" s="347"/>
      <c r="E19" s="387"/>
      <c r="F19" s="388"/>
      <c r="G19" s="388"/>
      <c r="H19" s="388"/>
      <c r="I19" s="388"/>
      <c r="J19" s="413"/>
      <c r="K19" s="414"/>
      <c r="L19" s="414"/>
      <c r="M19" s="414"/>
      <c r="N19" s="414"/>
      <c r="O19" s="415"/>
      <c r="P19" s="413"/>
      <c r="Q19" s="414"/>
      <c r="R19" s="414"/>
      <c r="S19" s="414"/>
      <c r="T19" s="414"/>
      <c r="U19" s="415"/>
      <c r="V19" s="397"/>
      <c r="W19" s="393"/>
      <c r="X19" s="393"/>
      <c r="Y19" s="393"/>
      <c r="Z19" s="393"/>
      <c r="AA19" s="394"/>
      <c r="AB19" s="397"/>
      <c r="AC19" s="393"/>
      <c r="AD19" s="393"/>
      <c r="AE19" s="393"/>
      <c r="AF19" s="393"/>
      <c r="AG19" s="394"/>
      <c r="AH19" s="404"/>
      <c r="AI19" s="405"/>
      <c r="AJ19" s="405"/>
      <c r="AK19" s="405"/>
      <c r="AL19" s="405"/>
      <c r="AM19" s="406"/>
      <c r="AN19" s="79"/>
      <c r="AO19" s="360"/>
      <c r="AP19" s="361"/>
      <c r="AQ19" s="361"/>
      <c r="AR19" s="361"/>
      <c r="AS19" s="361"/>
      <c r="AT19" s="362"/>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row>
    <row r="20" spans="1:80" ht="15" customHeight="1" x14ac:dyDescent="0.25">
      <c r="A20" s="79"/>
      <c r="B20" s="346"/>
      <c r="C20" s="346"/>
      <c r="D20" s="347"/>
      <c r="E20" s="387"/>
      <c r="F20" s="388"/>
      <c r="G20" s="388"/>
      <c r="H20" s="388"/>
      <c r="I20" s="388"/>
      <c r="J20" s="413" t="str">
        <f>IF(AND('Mapa final'!$H$55="Alta",'Mapa final'!$L$55="Leve"),CONCATENATE("R",'Mapa final'!$A$55),"")</f>
        <v/>
      </c>
      <c r="K20" s="414"/>
      <c r="L20" s="414" t="str">
        <f>IF(AND('Mapa final'!$H$61="Alta",'Mapa final'!$L$61="Leve"),CONCATENATE("R",'Mapa final'!$A$61),"")</f>
        <v/>
      </c>
      <c r="M20" s="414"/>
      <c r="N20" s="414" t="str">
        <f>IF(AND('Mapa final'!$H$67="Alta",'Mapa final'!$L$67="Leve"),CONCATENATE("R",'Mapa final'!$A$67),"")</f>
        <v/>
      </c>
      <c r="O20" s="415"/>
      <c r="P20" s="413" t="str">
        <f>IF(AND('Mapa final'!$H$55="Alta",'Mapa final'!$L$55="Menor"),CONCATENATE("R",'Mapa final'!$A$55),"")</f>
        <v/>
      </c>
      <c r="Q20" s="414"/>
      <c r="R20" s="414" t="str">
        <f>IF(AND('Mapa final'!$H$61="Alta",'Mapa final'!$L$61="Menor"),CONCATENATE("R",'Mapa final'!$A$61),"")</f>
        <v/>
      </c>
      <c r="S20" s="414"/>
      <c r="T20" s="414" t="str">
        <f>IF(AND('Mapa final'!$H$67="Alta",'Mapa final'!$L$67="Menor"),CONCATENATE("R",'Mapa final'!$A$67),"")</f>
        <v/>
      </c>
      <c r="U20" s="415"/>
      <c r="V20" s="397" t="str">
        <f>IF(AND('Mapa final'!$H$55="Alta",'Mapa final'!$L$55="Moderado"),CONCATENATE("R",'Mapa final'!$A$55),"")</f>
        <v/>
      </c>
      <c r="W20" s="393"/>
      <c r="X20" s="393" t="str">
        <f>IF(AND('Mapa final'!$H$61="Alta",'Mapa final'!$L$61="Moderado"),CONCATENATE("R",'Mapa final'!$A$61),"")</f>
        <v/>
      </c>
      <c r="Y20" s="393"/>
      <c r="Z20" s="393" t="str">
        <f>IF(AND('Mapa final'!$H$67="Alta",'Mapa final'!$L$67="Moderado"),CONCATENATE("R",'Mapa final'!$A$67),"")</f>
        <v/>
      </c>
      <c r="AA20" s="394"/>
      <c r="AB20" s="397" t="str">
        <f>IF(AND('Mapa final'!$H$55="Alta",'Mapa final'!$L$55="Mayor"),CONCATENATE("R",'Mapa final'!$A$55),"")</f>
        <v/>
      </c>
      <c r="AC20" s="393"/>
      <c r="AD20" s="393" t="str">
        <f>IF(AND('Mapa final'!$H$61="Alta",'Mapa final'!$L$61="Mayor"),CONCATENATE("R",'Mapa final'!$A$61),"")</f>
        <v/>
      </c>
      <c r="AE20" s="393"/>
      <c r="AF20" s="393" t="str">
        <f>IF(AND('Mapa final'!$H$67="Alta",'Mapa final'!$L$67="Mayor"),CONCATENATE("R",'Mapa final'!$A$67),"")</f>
        <v/>
      </c>
      <c r="AG20" s="394"/>
      <c r="AH20" s="404" t="str">
        <f>IF(AND('Mapa final'!$H$55="Alta",'Mapa final'!$L$55="Catastrófico"),CONCATENATE("R",'Mapa final'!$A$55),"")</f>
        <v/>
      </c>
      <c r="AI20" s="405"/>
      <c r="AJ20" s="405" t="str">
        <f>IF(AND('Mapa final'!$H$61="Alta",'Mapa final'!$L$61="Catastrófico"),CONCATENATE("R",'Mapa final'!$A$61),"")</f>
        <v/>
      </c>
      <c r="AK20" s="405"/>
      <c r="AL20" s="405" t="str">
        <f>IF(AND('Mapa final'!$H$67="Alta",'Mapa final'!$L$67="Catastrófico"),CONCATENATE("R",'Mapa final'!$A$67),"")</f>
        <v/>
      </c>
      <c r="AM20" s="406"/>
      <c r="AN20" s="79"/>
      <c r="AO20" s="360"/>
      <c r="AP20" s="361"/>
      <c r="AQ20" s="361"/>
      <c r="AR20" s="361"/>
      <c r="AS20" s="361"/>
      <c r="AT20" s="362"/>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row>
    <row r="21" spans="1:80" ht="15.75" customHeight="1" thickBot="1" x14ac:dyDescent="0.3">
      <c r="A21" s="79"/>
      <c r="B21" s="346"/>
      <c r="C21" s="346"/>
      <c r="D21" s="347"/>
      <c r="E21" s="390"/>
      <c r="F21" s="391"/>
      <c r="G21" s="391"/>
      <c r="H21" s="391"/>
      <c r="I21" s="391"/>
      <c r="J21" s="416"/>
      <c r="K21" s="417"/>
      <c r="L21" s="417"/>
      <c r="M21" s="417"/>
      <c r="N21" s="417"/>
      <c r="O21" s="418"/>
      <c r="P21" s="416"/>
      <c r="Q21" s="417"/>
      <c r="R21" s="417"/>
      <c r="S21" s="417"/>
      <c r="T21" s="417"/>
      <c r="U21" s="418"/>
      <c r="V21" s="401"/>
      <c r="W21" s="402"/>
      <c r="X21" s="402"/>
      <c r="Y21" s="402"/>
      <c r="Z21" s="402"/>
      <c r="AA21" s="403"/>
      <c r="AB21" s="401"/>
      <c r="AC21" s="402"/>
      <c r="AD21" s="402"/>
      <c r="AE21" s="402"/>
      <c r="AF21" s="402"/>
      <c r="AG21" s="403"/>
      <c r="AH21" s="407"/>
      <c r="AI21" s="408"/>
      <c r="AJ21" s="408"/>
      <c r="AK21" s="408"/>
      <c r="AL21" s="408"/>
      <c r="AM21" s="409"/>
      <c r="AN21" s="79"/>
      <c r="AO21" s="363"/>
      <c r="AP21" s="364"/>
      <c r="AQ21" s="364"/>
      <c r="AR21" s="364"/>
      <c r="AS21" s="364"/>
      <c r="AT21" s="365"/>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row>
    <row r="22" spans="1:80" x14ac:dyDescent="0.25">
      <c r="A22" s="79"/>
      <c r="B22" s="346"/>
      <c r="C22" s="346"/>
      <c r="D22" s="347"/>
      <c r="E22" s="384" t="s">
        <v>96</v>
      </c>
      <c r="F22" s="385"/>
      <c r="G22" s="385"/>
      <c r="H22" s="385"/>
      <c r="I22" s="386"/>
      <c r="J22" s="419" t="str">
        <f>IF(AND('Mapa final'!$H$24="Media",'Mapa final'!$L$24="Leve"),CONCATENATE("R",'Mapa final'!$A$24),"")</f>
        <v/>
      </c>
      <c r="K22" s="420"/>
      <c r="L22" s="420" t="str">
        <f>IF(AND('Mapa final'!$H$27="Media",'Mapa final'!$L$27="Leve"),CONCATENATE("R",'Mapa final'!$A$27),"")</f>
        <v/>
      </c>
      <c r="M22" s="420"/>
      <c r="N22" s="420" t="str">
        <f>IF(AND('Mapa final'!$H$30="Media",'Mapa final'!$L$30="Leve"),CONCATENATE("R",'Mapa final'!$A$30),"")</f>
        <v/>
      </c>
      <c r="O22" s="421"/>
      <c r="P22" s="419" t="str">
        <f>IF(AND('Mapa final'!$H$24="Media",'Mapa final'!$L$24="Menor"),CONCATENATE("R",'Mapa final'!$A$24),"")</f>
        <v/>
      </c>
      <c r="Q22" s="420"/>
      <c r="R22" s="420" t="str">
        <f>IF(AND('Mapa final'!$H$27="Media",'Mapa final'!$L$27="Menor"),CONCATENATE("R",'Mapa final'!$A$27),"")</f>
        <v/>
      </c>
      <c r="S22" s="420"/>
      <c r="T22" s="420" t="str">
        <f>IF(AND('Mapa final'!$H$30="Media",'Mapa final'!$L$30="Menor"),CONCATENATE("R",'Mapa final'!$A$30),"")</f>
        <v/>
      </c>
      <c r="U22" s="421"/>
      <c r="V22" s="419" t="str">
        <f>IF(AND('Mapa final'!$H$24="Media",'Mapa final'!$L$24="Moderado"),CONCATENATE("R",'Mapa final'!$A$24),"")</f>
        <v/>
      </c>
      <c r="W22" s="420"/>
      <c r="X22" s="420" t="str">
        <f>IF(AND('Mapa final'!$H$27="Media",'Mapa final'!$L$27="Moderado"),CONCATENATE("R",'Mapa final'!$A$27),"")</f>
        <v/>
      </c>
      <c r="Y22" s="420"/>
      <c r="Z22" s="420" t="str">
        <f>IF(AND('Mapa final'!$H$30="Media",'Mapa final'!$L$30="Moderado"),CONCATENATE("R",'Mapa final'!$A$30),"")</f>
        <v/>
      </c>
      <c r="AA22" s="421"/>
      <c r="AB22" s="395" t="str">
        <f>IF(AND('Mapa final'!$H$24="Media",'Mapa final'!$L$24="Mayor"),CONCATENATE("R",'Mapa final'!$A$24),"")</f>
        <v/>
      </c>
      <c r="AC22" s="396"/>
      <c r="AD22" s="396" t="str">
        <f>IF(AND('Mapa final'!$H$27="Media",'Mapa final'!$L$27="Mayor"),CONCATENATE("R",'Mapa final'!$A$27),"")</f>
        <v/>
      </c>
      <c r="AE22" s="396"/>
      <c r="AF22" s="396" t="str">
        <f>IF(AND('Mapa final'!$H$30="Media",'Mapa final'!$L$30="Mayor"),CONCATENATE("R",'Mapa final'!$A$30),"")</f>
        <v/>
      </c>
      <c r="AG22" s="398"/>
      <c r="AH22" s="410" t="str">
        <f>IF(AND('Mapa final'!$H$24="Media",'Mapa final'!$L$24="Catastrófico"),CONCATENATE("R",'Mapa final'!$A$24),"")</f>
        <v/>
      </c>
      <c r="AI22" s="411"/>
      <c r="AJ22" s="411" t="str">
        <f>IF(AND('Mapa final'!$H$27="Media",'Mapa final'!$L$27="Catastrófico"),CONCATENATE("R",'Mapa final'!$A$27),"")</f>
        <v/>
      </c>
      <c r="AK22" s="411"/>
      <c r="AL22" s="411" t="str">
        <f>IF(AND('Mapa final'!$H$30="Media",'Mapa final'!$L$30="Catastrófico"),CONCATENATE("R",'Mapa final'!$A$30),"")</f>
        <v/>
      </c>
      <c r="AM22" s="412"/>
      <c r="AN22" s="79"/>
      <c r="AO22" s="366" t="s">
        <v>97</v>
      </c>
      <c r="AP22" s="367"/>
      <c r="AQ22" s="367"/>
      <c r="AR22" s="367"/>
      <c r="AS22" s="367"/>
      <c r="AT22" s="368"/>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row>
    <row r="23" spans="1:80" x14ac:dyDescent="0.25">
      <c r="A23" s="79"/>
      <c r="B23" s="346"/>
      <c r="C23" s="346"/>
      <c r="D23" s="347"/>
      <c r="E23" s="387"/>
      <c r="F23" s="388"/>
      <c r="G23" s="388"/>
      <c r="H23" s="388"/>
      <c r="I23" s="389"/>
      <c r="J23" s="413"/>
      <c r="K23" s="414"/>
      <c r="L23" s="414"/>
      <c r="M23" s="414"/>
      <c r="N23" s="414"/>
      <c r="O23" s="415"/>
      <c r="P23" s="413"/>
      <c r="Q23" s="414"/>
      <c r="R23" s="414"/>
      <c r="S23" s="414"/>
      <c r="T23" s="414"/>
      <c r="U23" s="415"/>
      <c r="V23" s="413"/>
      <c r="W23" s="414"/>
      <c r="X23" s="414"/>
      <c r="Y23" s="414"/>
      <c r="Z23" s="414"/>
      <c r="AA23" s="415"/>
      <c r="AB23" s="397"/>
      <c r="AC23" s="393"/>
      <c r="AD23" s="393"/>
      <c r="AE23" s="393"/>
      <c r="AF23" s="393"/>
      <c r="AG23" s="394"/>
      <c r="AH23" s="404"/>
      <c r="AI23" s="405"/>
      <c r="AJ23" s="405"/>
      <c r="AK23" s="405"/>
      <c r="AL23" s="405"/>
      <c r="AM23" s="406"/>
      <c r="AN23" s="79"/>
      <c r="AO23" s="369"/>
      <c r="AP23" s="370"/>
      <c r="AQ23" s="370"/>
      <c r="AR23" s="370"/>
      <c r="AS23" s="370"/>
      <c r="AT23" s="371"/>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row>
    <row r="24" spans="1:80" x14ac:dyDescent="0.25">
      <c r="A24" s="79"/>
      <c r="B24" s="346"/>
      <c r="C24" s="346"/>
      <c r="D24" s="347"/>
      <c r="E24" s="387"/>
      <c r="F24" s="388"/>
      <c r="G24" s="388"/>
      <c r="H24" s="388"/>
      <c r="I24" s="389"/>
      <c r="J24" s="413" t="str">
        <f>IF(AND('Mapa final'!$H$31="Media",'Mapa final'!$L$31="Leve"),CONCATENATE("R",'Mapa final'!$A$31),"")</f>
        <v/>
      </c>
      <c r="K24" s="414"/>
      <c r="L24" s="414" t="str">
        <f>IF(AND('Mapa final'!$H$33="Media",'Mapa final'!$L$33="Leve"),CONCATENATE("R",'Mapa final'!$A$33),"")</f>
        <v/>
      </c>
      <c r="M24" s="414"/>
      <c r="N24" s="414" t="str">
        <f>IF(AND('Mapa final'!$H$35="Media",'Mapa final'!$L$35="Leve"),CONCATENATE("R",'Mapa final'!$A$35),"")</f>
        <v/>
      </c>
      <c r="O24" s="415"/>
      <c r="P24" s="413" t="str">
        <f>IF(AND('Mapa final'!$H$31="Media",'Mapa final'!$L$31="Menor"),CONCATENATE("R",'Mapa final'!$A$31),"")</f>
        <v>R4
(Aplica Nivel Central y Nivel Local)</v>
      </c>
      <c r="Q24" s="414"/>
      <c r="R24" s="414" t="str">
        <f>IF(AND('Mapa final'!$H$33="Media",'Mapa final'!$L$33="Menor"),CONCATENATE("R",'Mapa final'!$A$33),"")</f>
        <v/>
      </c>
      <c r="S24" s="414"/>
      <c r="T24" s="414" t="str">
        <f>IF(AND('Mapa final'!$H$35="Media",'Mapa final'!$L$35="Menor"),CONCATENATE("R",'Mapa final'!$A$35),"")</f>
        <v/>
      </c>
      <c r="U24" s="415"/>
      <c r="V24" s="413" t="str">
        <f>IF(AND('Mapa final'!$H$31="Media",'Mapa final'!$L$31="Moderado"),CONCATENATE("R",'Mapa final'!$A$31),"")</f>
        <v/>
      </c>
      <c r="W24" s="414"/>
      <c r="X24" s="414" t="str">
        <f>IF(AND('Mapa final'!$H$33="Media",'Mapa final'!$L$33="Moderado"),CONCATENATE("R",'Mapa final'!$A$33),"")</f>
        <v>R5
(Aplica Nivel Central)</v>
      </c>
      <c r="Y24" s="414"/>
      <c r="Z24" s="414" t="str">
        <f>IF(AND('Mapa final'!$H$35="Media",'Mapa final'!$L$35="Moderado"),CONCATENATE("R",'Mapa final'!$A$35),"")</f>
        <v>R6
(Aplica Nivel Central)</v>
      </c>
      <c r="AA24" s="415"/>
      <c r="AB24" s="397" t="str">
        <f>IF(AND('Mapa final'!$H$31="Media",'Mapa final'!$L$31="Mayor"),CONCATENATE("R",'Mapa final'!$A$31),"")</f>
        <v/>
      </c>
      <c r="AC24" s="393"/>
      <c r="AD24" s="393" t="str">
        <f>IF(AND('Mapa final'!$H$33="Media",'Mapa final'!$L$33="Mayor"),CONCATENATE("R",'Mapa final'!$A$33),"")</f>
        <v/>
      </c>
      <c r="AE24" s="393"/>
      <c r="AF24" s="393" t="str">
        <f>IF(AND('Mapa final'!$H$35="Media",'Mapa final'!$L$35="Mayor"),CONCATENATE("R",'Mapa final'!$A$35),"")</f>
        <v/>
      </c>
      <c r="AG24" s="394"/>
      <c r="AH24" s="404" t="str">
        <f>IF(AND('Mapa final'!$H$31="Media",'Mapa final'!$L$31="Catastrófico"),CONCATENATE("R",'Mapa final'!$A$31),"")</f>
        <v/>
      </c>
      <c r="AI24" s="405"/>
      <c r="AJ24" s="405" t="str">
        <f>IF(AND('Mapa final'!$H$33="Media",'Mapa final'!$L$33="Catastrófico"),CONCATENATE("R",'Mapa final'!$A$33),"")</f>
        <v/>
      </c>
      <c r="AK24" s="405"/>
      <c r="AL24" s="405" t="str">
        <f>IF(AND('Mapa final'!$H$35="Media",'Mapa final'!$L$35="Catastrófico"),CONCATENATE("R",'Mapa final'!$A$35),"")</f>
        <v/>
      </c>
      <c r="AM24" s="406"/>
      <c r="AN24" s="79"/>
      <c r="AO24" s="369"/>
      <c r="AP24" s="370"/>
      <c r="AQ24" s="370"/>
      <c r="AR24" s="370"/>
      <c r="AS24" s="370"/>
      <c r="AT24" s="371"/>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row>
    <row r="25" spans="1:80" x14ac:dyDescent="0.25">
      <c r="A25" s="79"/>
      <c r="B25" s="346"/>
      <c r="C25" s="346"/>
      <c r="D25" s="347"/>
      <c r="E25" s="387"/>
      <c r="F25" s="388"/>
      <c r="G25" s="388"/>
      <c r="H25" s="388"/>
      <c r="I25" s="389"/>
      <c r="J25" s="413"/>
      <c r="K25" s="414"/>
      <c r="L25" s="414"/>
      <c r="M25" s="414"/>
      <c r="N25" s="414"/>
      <c r="O25" s="415"/>
      <c r="P25" s="413"/>
      <c r="Q25" s="414"/>
      <c r="R25" s="414"/>
      <c r="S25" s="414"/>
      <c r="T25" s="414"/>
      <c r="U25" s="415"/>
      <c r="V25" s="413"/>
      <c r="W25" s="414"/>
      <c r="X25" s="414"/>
      <c r="Y25" s="414"/>
      <c r="Z25" s="414"/>
      <c r="AA25" s="415"/>
      <c r="AB25" s="397"/>
      <c r="AC25" s="393"/>
      <c r="AD25" s="393"/>
      <c r="AE25" s="393"/>
      <c r="AF25" s="393"/>
      <c r="AG25" s="394"/>
      <c r="AH25" s="404"/>
      <c r="AI25" s="405"/>
      <c r="AJ25" s="405"/>
      <c r="AK25" s="405"/>
      <c r="AL25" s="405"/>
      <c r="AM25" s="406"/>
      <c r="AN25" s="79"/>
      <c r="AO25" s="369"/>
      <c r="AP25" s="370"/>
      <c r="AQ25" s="370"/>
      <c r="AR25" s="370"/>
      <c r="AS25" s="370"/>
      <c r="AT25" s="371"/>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row>
    <row r="26" spans="1:80" x14ac:dyDescent="0.25">
      <c r="A26" s="79"/>
      <c r="B26" s="346"/>
      <c r="C26" s="346"/>
      <c r="D26" s="347"/>
      <c r="E26" s="387"/>
      <c r="F26" s="388"/>
      <c r="G26" s="388"/>
      <c r="H26" s="388"/>
      <c r="I26" s="389"/>
      <c r="J26" s="413" t="str">
        <f>IF(AND('Mapa final'!$H$41="Media",'Mapa final'!$L$41="Leve"),CONCATENATE("R",'Mapa final'!$A$41),"")</f>
        <v/>
      </c>
      <c r="K26" s="414"/>
      <c r="L26" s="414" t="str">
        <f>IF(AND('Mapa final'!$H$43="Media",'Mapa final'!$L$43="Leve"),CONCATENATE("R",'Mapa final'!$A$43),"")</f>
        <v/>
      </c>
      <c r="M26" s="414"/>
      <c r="N26" s="414" t="str">
        <f>IF(AND('Mapa final'!$H$49="Media",'Mapa final'!$L$49="Leve"),CONCATENATE("R",'Mapa final'!$A$49),"")</f>
        <v/>
      </c>
      <c r="O26" s="415"/>
      <c r="P26" s="413" t="str">
        <f>IF(AND('Mapa final'!$H$41="Media",'Mapa final'!$L$41="Menor"),CONCATENATE("R",'Mapa final'!$A$41),"")</f>
        <v/>
      </c>
      <c r="Q26" s="414"/>
      <c r="R26" s="414" t="str">
        <f>IF(AND('Mapa final'!$H$43="Media",'Mapa final'!$L$43="Menor"),CONCATENATE("R",'Mapa final'!$A$43),"")</f>
        <v/>
      </c>
      <c r="S26" s="414"/>
      <c r="T26" s="414" t="str">
        <f>IF(AND('Mapa final'!$H$49="Media",'Mapa final'!$L$49="Menor"),CONCATENATE("R",'Mapa final'!$A$49),"")</f>
        <v/>
      </c>
      <c r="U26" s="415"/>
      <c r="V26" s="413" t="str">
        <f>IF(AND('Mapa final'!$H$41="Media",'Mapa final'!$L$41="Moderado"),CONCATENATE("R",'Mapa final'!$A$41),"")</f>
        <v>R10
(Aplica Nivel Central)</v>
      </c>
      <c r="W26" s="414"/>
      <c r="X26" s="414" t="str">
        <f>IF(AND('Mapa final'!$H$43="Media",'Mapa final'!$L$43="Moderado"),CONCATENATE("R",'Mapa final'!$A$43),"")</f>
        <v/>
      </c>
      <c r="Y26" s="414"/>
      <c r="Z26" s="414" t="str">
        <f>IF(AND('Mapa final'!$H$49="Media",'Mapa final'!$L$49="Moderado"),CONCATENATE("R",'Mapa final'!$A$49),"")</f>
        <v/>
      </c>
      <c r="AA26" s="415"/>
      <c r="AB26" s="397" t="str">
        <f>IF(AND('Mapa final'!$H$41="Media",'Mapa final'!$L$41="Mayor"),CONCATENATE("R",'Mapa final'!$A$41),"")</f>
        <v/>
      </c>
      <c r="AC26" s="393"/>
      <c r="AD26" s="393" t="str">
        <f>IF(AND('Mapa final'!$H$43="Media",'Mapa final'!$L$43="Mayor"),CONCATENATE("R",'Mapa final'!$A$43),"")</f>
        <v/>
      </c>
      <c r="AE26" s="393"/>
      <c r="AF26" s="393" t="str">
        <f>IF(AND('Mapa final'!$H$49="Media",'Mapa final'!$L$49="Mayor"),CONCATENATE("R",'Mapa final'!$A$49),"")</f>
        <v/>
      </c>
      <c r="AG26" s="394"/>
      <c r="AH26" s="404" t="str">
        <f>IF(AND('Mapa final'!$H$41="Media",'Mapa final'!$L$41="Catastrófico"),CONCATENATE("R",'Mapa final'!$A$41),"")</f>
        <v/>
      </c>
      <c r="AI26" s="405"/>
      <c r="AJ26" s="405" t="str">
        <f>IF(AND('Mapa final'!$H$43="Media",'Mapa final'!$L$43="Catastrófico"),CONCATENATE("R",'Mapa final'!$A$43),"")</f>
        <v/>
      </c>
      <c r="AK26" s="405"/>
      <c r="AL26" s="405" t="str">
        <f>IF(AND('Mapa final'!$H$49="Media",'Mapa final'!$L$49="Catastrófico"),CONCATENATE("R",'Mapa final'!$A$49),"")</f>
        <v/>
      </c>
      <c r="AM26" s="406"/>
      <c r="AN26" s="79"/>
      <c r="AO26" s="369"/>
      <c r="AP26" s="370"/>
      <c r="AQ26" s="370"/>
      <c r="AR26" s="370"/>
      <c r="AS26" s="370"/>
      <c r="AT26" s="371"/>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row>
    <row r="27" spans="1:80" x14ac:dyDescent="0.25">
      <c r="A27" s="79"/>
      <c r="B27" s="346"/>
      <c r="C27" s="346"/>
      <c r="D27" s="347"/>
      <c r="E27" s="387"/>
      <c r="F27" s="388"/>
      <c r="G27" s="388"/>
      <c r="H27" s="388"/>
      <c r="I27" s="389"/>
      <c r="J27" s="413"/>
      <c r="K27" s="414"/>
      <c r="L27" s="414"/>
      <c r="M27" s="414"/>
      <c r="N27" s="414"/>
      <c r="O27" s="415"/>
      <c r="P27" s="413"/>
      <c r="Q27" s="414"/>
      <c r="R27" s="414"/>
      <c r="S27" s="414"/>
      <c r="T27" s="414"/>
      <c r="U27" s="415"/>
      <c r="V27" s="413"/>
      <c r="W27" s="414"/>
      <c r="X27" s="414"/>
      <c r="Y27" s="414"/>
      <c r="Z27" s="414"/>
      <c r="AA27" s="415"/>
      <c r="AB27" s="397"/>
      <c r="AC27" s="393"/>
      <c r="AD27" s="393"/>
      <c r="AE27" s="393"/>
      <c r="AF27" s="393"/>
      <c r="AG27" s="394"/>
      <c r="AH27" s="404"/>
      <c r="AI27" s="405"/>
      <c r="AJ27" s="405"/>
      <c r="AK27" s="405"/>
      <c r="AL27" s="405"/>
      <c r="AM27" s="406"/>
      <c r="AN27" s="79"/>
      <c r="AO27" s="369"/>
      <c r="AP27" s="370"/>
      <c r="AQ27" s="370"/>
      <c r="AR27" s="370"/>
      <c r="AS27" s="370"/>
      <c r="AT27" s="371"/>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row>
    <row r="28" spans="1:80" x14ac:dyDescent="0.25">
      <c r="A28" s="79"/>
      <c r="B28" s="346"/>
      <c r="C28" s="346"/>
      <c r="D28" s="347"/>
      <c r="E28" s="387"/>
      <c r="F28" s="388"/>
      <c r="G28" s="388"/>
      <c r="H28" s="388"/>
      <c r="I28" s="389"/>
      <c r="J28" s="413" t="str">
        <f>IF(AND('Mapa final'!$H$55="Media",'Mapa final'!$L$55="Leve"),CONCATENATE("R",'Mapa final'!$A$55),"")</f>
        <v/>
      </c>
      <c r="K28" s="414"/>
      <c r="L28" s="414" t="str">
        <f>IF(AND('Mapa final'!$H$61="Media",'Mapa final'!$L$61="Leve"),CONCATENATE("R",'Mapa final'!$A$61),"")</f>
        <v/>
      </c>
      <c r="M28" s="414"/>
      <c r="N28" s="414" t="str">
        <f>IF(AND('Mapa final'!$H$67="Media",'Mapa final'!$L$67="Leve"),CONCATENATE("R",'Mapa final'!$A$67),"")</f>
        <v/>
      </c>
      <c r="O28" s="415"/>
      <c r="P28" s="413" t="str">
        <f>IF(AND('Mapa final'!$H$55="Media",'Mapa final'!$L$55="Menor"),CONCATENATE("R",'Mapa final'!$A$55),"")</f>
        <v/>
      </c>
      <c r="Q28" s="414"/>
      <c r="R28" s="414" t="str">
        <f>IF(AND('Mapa final'!$H$61="Media",'Mapa final'!$L$61="Menor"),CONCATENATE("R",'Mapa final'!$A$61),"")</f>
        <v/>
      </c>
      <c r="S28" s="414"/>
      <c r="T28" s="414" t="str">
        <f>IF(AND('Mapa final'!$H$67="Media",'Mapa final'!$L$67="Menor"),CONCATENATE("R",'Mapa final'!$A$67),"")</f>
        <v/>
      </c>
      <c r="U28" s="415"/>
      <c r="V28" s="413" t="str">
        <f>IF(AND('Mapa final'!$H$55="Media",'Mapa final'!$L$55="Moderado"),CONCATENATE("R",'Mapa final'!$A$55),"")</f>
        <v/>
      </c>
      <c r="W28" s="414"/>
      <c r="X28" s="414" t="str">
        <f>IF(AND('Mapa final'!$H$61="Media",'Mapa final'!$L$61="Moderado"),CONCATENATE("R",'Mapa final'!$A$61),"")</f>
        <v/>
      </c>
      <c r="Y28" s="414"/>
      <c r="Z28" s="414" t="str">
        <f>IF(AND('Mapa final'!$H$67="Media",'Mapa final'!$L$67="Moderado"),CONCATENATE("R",'Mapa final'!$A$67),"")</f>
        <v/>
      </c>
      <c r="AA28" s="415"/>
      <c r="AB28" s="397" t="str">
        <f>IF(AND('Mapa final'!$H$55="Media",'Mapa final'!$L$55="Mayor"),CONCATENATE("R",'Mapa final'!$A$55),"")</f>
        <v/>
      </c>
      <c r="AC28" s="393"/>
      <c r="AD28" s="393" t="str">
        <f>IF(AND('Mapa final'!$H$61="Media",'Mapa final'!$L$61="Mayor"),CONCATENATE("R",'Mapa final'!$A$61),"")</f>
        <v/>
      </c>
      <c r="AE28" s="393"/>
      <c r="AF28" s="393" t="str">
        <f>IF(AND('Mapa final'!$H$67="Media",'Mapa final'!$L$67="Mayor"),CONCATENATE("R",'Mapa final'!$A$67),"")</f>
        <v/>
      </c>
      <c r="AG28" s="394"/>
      <c r="AH28" s="404" t="str">
        <f>IF(AND('Mapa final'!$H$55="Media",'Mapa final'!$L$55="Catastrófico"),CONCATENATE("R",'Mapa final'!$A$55),"")</f>
        <v/>
      </c>
      <c r="AI28" s="405"/>
      <c r="AJ28" s="405" t="str">
        <f>IF(AND('Mapa final'!$H$61="Media",'Mapa final'!$L$61="Catastrófico"),CONCATENATE("R",'Mapa final'!$A$61),"")</f>
        <v/>
      </c>
      <c r="AK28" s="405"/>
      <c r="AL28" s="405" t="str">
        <f>IF(AND('Mapa final'!$H$67="Media",'Mapa final'!$L$67="Catastrófico"),CONCATENATE("R",'Mapa final'!$A$67),"")</f>
        <v/>
      </c>
      <c r="AM28" s="406"/>
      <c r="AN28" s="79"/>
      <c r="AO28" s="369"/>
      <c r="AP28" s="370"/>
      <c r="AQ28" s="370"/>
      <c r="AR28" s="370"/>
      <c r="AS28" s="370"/>
      <c r="AT28" s="371"/>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row>
    <row r="29" spans="1:80" ht="15.75" thickBot="1" x14ac:dyDescent="0.3">
      <c r="A29" s="79"/>
      <c r="B29" s="346"/>
      <c r="C29" s="346"/>
      <c r="D29" s="347"/>
      <c r="E29" s="390"/>
      <c r="F29" s="391"/>
      <c r="G29" s="391"/>
      <c r="H29" s="391"/>
      <c r="I29" s="392"/>
      <c r="J29" s="413"/>
      <c r="K29" s="414"/>
      <c r="L29" s="414"/>
      <c r="M29" s="414"/>
      <c r="N29" s="414"/>
      <c r="O29" s="415"/>
      <c r="P29" s="416"/>
      <c r="Q29" s="417"/>
      <c r="R29" s="417"/>
      <c r="S29" s="417"/>
      <c r="T29" s="417"/>
      <c r="U29" s="418"/>
      <c r="V29" s="416"/>
      <c r="W29" s="417"/>
      <c r="X29" s="417"/>
      <c r="Y29" s="417"/>
      <c r="Z29" s="417"/>
      <c r="AA29" s="418"/>
      <c r="AB29" s="401"/>
      <c r="AC29" s="402"/>
      <c r="AD29" s="402"/>
      <c r="AE29" s="402"/>
      <c r="AF29" s="402"/>
      <c r="AG29" s="403"/>
      <c r="AH29" s="407"/>
      <c r="AI29" s="408"/>
      <c r="AJ29" s="408"/>
      <c r="AK29" s="408"/>
      <c r="AL29" s="408"/>
      <c r="AM29" s="409"/>
      <c r="AN29" s="79"/>
      <c r="AO29" s="372"/>
      <c r="AP29" s="373"/>
      <c r="AQ29" s="373"/>
      <c r="AR29" s="373"/>
      <c r="AS29" s="373"/>
      <c r="AT29" s="374"/>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row>
    <row r="30" spans="1:80" x14ac:dyDescent="0.25">
      <c r="A30" s="79"/>
      <c r="B30" s="346"/>
      <c r="C30" s="346"/>
      <c r="D30" s="347"/>
      <c r="E30" s="384" t="s">
        <v>98</v>
      </c>
      <c r="F30" s="385"/>
      <c r="G30" s="385"/>
      <c r="H30" s="385"/>
      <c r="I30" s="385"/>
      <c r="J30" s="428" t="str">
        <f>IF(AND('Mapa final'!$H$24="Baja",'Mapa final'!$L$24="Leve"),CONCATENATE("R",'Mapa final'!$A$24),"")</f>
        <v/>
      </c>
      <c r="K30" s="429"/>
      <c r="L30" s="429" t="str">
        <f>IF(AND('Mapa final'!$H$27="Baja",'Mapa final'!$L$27="Leve"),CONCATENATE("R",'Mapa final'!$A$27),"")</f>
        <v/>
      </c>
      <c r="M30" s="429"/>
      <c r="N30" s="429" t="str">
        <f>IF(AND('Mapa final'!$H$30="Baja",'Mapa final'!$L$30="Leve"),CONCATENATE("R",'Mapa final'!$A$30),"")</f>
        <v/>
      </c>
      <c r="O30" s="430"/>
      <c r="P30" s="420" t="str">
        <f>IF(AND('Mapa final'!$H$24="Baja",'Mapa final'!$L$24="Menor"),CONCATENATE("R",'Mapa final'!$A$24),"")</f>
        <v/>
      </c>
      <c r="Q30" s="420"/>
      <c r="R30" s="420" t="str">
        <f>IF(AND('Mapa final'!$H$27="Baja",'Mapa final'!$L$27="Menor"),CONCATENATE("R",'Mapa final'!$A$27),"")</f>
        <v/>
      </c>
      <c r="S30" s="420"/>
      <c r="T30" s="420" t="str">
        <f>IF(AND('Mapa final'!$H$30="Baja",'Mapa final'!$L$30="Menor"),CONCATENATE("R",'Mapa final'!$A$30),"")</f>
        <v/>
      </c>
      <c r="U30" s="421"/>
      <c r="V30" s="419" t="str">
        <f>IF(AND('Mapa final'!$H$24="Baja",'Mapa final'!$L$24="Moderado"),CONCATENATE("R",'Mapa final'!$A$24),"")</f>
        <v/>
      </c>
      <c r="W30" s="420"/>
      <c r="X30" s="420" t="str">
        <f>IF(AND('Mapa final'!$H$27="Baja",'Mapa final'!$L$27="Moderado"),CONCATENATE("R",'Mapa final'!$A$27),"")</f>
        <v/>
      </c>
      <c r="Y30" s="420"/>
      <c r="Z30" s="420" t="str">
        <f>IF(AND('Mapa final'!$H$30="Baja",'Mapa final'!$L$30="Moderado"),CONCATENATE("R",'Mapa final'!$A$30),"")</f>
        <v/>
      </c>
      <c r="AA30" s="421"/>
      <c r="AB30" s="395" t="str">
        <f>IF(AND('Mapa final'!$H$24="Baja",'Mapa final'!$L$24="Mayor"),CONCATENATE("R",'Mapa final'!$A$24),"")</f>
        <v/>
      </c>
      <c r="AC30" s="396"/>
      <c r="AD30" s="396" t="str">
        <f>IF(AND('Mapa final'!$H$27="Baja",'Mapa final'!$L$27="Mayor"),CONCATENATE("R",'Mapa final'!$A$27),"")</f>
        <v/>
      </c>
      <c r="AE30" s="396"/>
      <c r="AF30" s="396" t="str">
        <f>IF(AND('Mapa final'!$H$30="Baja",'Mapa final'!$L$30="Mayor"),CONCATENATE("R",'Mapa final'!$A$30),"")</f>
        <v/>
      </c>
      <c r="AG30" s="398"/>
      <c r="AH30" s="410" t="str">
        <f>IF(AND('Mapa final'!$H$24="Baja",'Mapa final'!$L$24="Catastrófico"),CONCATENATE("R",'Mapa final'!$A$24),"")</f>
        <v/>
      </c>
      <c r="AI30" s="411"/>
      <c r="AJ30" s="411" t="str">
        <f>IF(AND('Mapa final'!$H$27="Baja",'Mapa final'!$L$27="Catastrófico"),CONCATENATE("R",'Mapa final'!$A$27),"")</f>
        <v/>
      </c>
      <c r="AK30" s="411"/>
      <c r="AL30" s="411" t="str">
        <f>IF(AND('Mapa final'!$H$30="Baja",'Mapa final'!$L$30="Catastrófico"),CONCATENATE("R",'Mapa final'!$A$30),"")</f>
        <v/>
      </c>
      <c r="AM30" s="412"/>
      <c r="AN30" s="79"/>
      <c r="AO30" s="375" t="s">
        <v>99</v>
      </c>
      <c r="AP30" s="376"/>
      <c r="AQ30" s="376"/>
      <c r="AR30" s="376"/>
      <c r="AS30" s="376"/>
      <c r="AT30" s="377"/>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row>
    <row r="31" spans="1:80" x14ac:dyDescent="0.25">
      <c r="A31" s="79"/>
      <c r="B31" s="346"/>
      <c r="C31" s="346"/>
      <c r="D31" s="347"/>
      <c r="E31" s="387"/>
      <c r="F31" s="388"/>
      <c r="G31" s="388"/>
      <c r="H31" s="388"/>
      <c r="I31" s="388"/>
      <c r="J31" s="424"/>
      <c r="K31" s="422"/>
      <c r="L31" s="422"/>
      <c r="M31" s="422"/>
      <c r="N31" s="422"/>
      <c r="O31" s="423"/>
      <c r="P31" s="414"/>
      <c r="Q31" s="414"/>
      <c r="R31" s="414"/>
      <c r="S31" s="414"/>
      <c r="T31" s="414"/>
      <c r="U31" s="415"/>
      <c r="V31" s="413"/>
      <c r="W31" s="414"/>
      <c r="X31" s="414"/>
      <c r="Y31" s="414"/>
      <c r="Z31" s="414"/>
      <c r="AA31" s="415"/>
      <c r="AB31" s="397"/>
      <c r="AC31" s="393"/>
      <c r="AD31" s="393"/>
      <c r="AE31" s="393"/>
      <c r="AF31" s="393"/>
      <c r="AG31" s="394"/>
      <c r="AH31" s="404"/>
      <c r="AI31" s="405"/>
      <c r="AJ31" s="405"/>
      <c r="AK31" s="405"/>
      <c r="AL31" s="405"/>
      <c r="AM31" s="406"/>
      <c r="AN31" s="79"/>
      <c r="AO31" s="378"/>
      <c r="AP31" s="379"/>
      <c r="AQ31" s="379"/>
      <c r="AR31" s="379"/>
      <c r="AS31" s="379"/>
      <c r="AT31" s="380"/>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row>
    <row r="32" spans="1:80" x14ac:dyDescent="0.25">
      <c r="A32" s="79"/>
      <c r="B32" s="346"/>
      <c r="C32" s="346"/>
      <c r="D32" s="347"/>
      <c r="E32" s="387"/>
      <c r="F32" s="388"/>
      <c r="G32" s="388"/>
      <c r="H32" s="388"/>
      <c r="I32" s="388"/>
      <c r="J32" s="424" t="str">
        <f>IF(AND('Mapa final'!$H$31="Baja",'Mapa final'!$L$31="Leve"),CONCATENATE("R",'Mapa final'!$A$31),"")</f>
        <v/>
      </c>
      <c r="K32" s="422"/>
      <c r="L32" s="422" t="str">
        <f>IF(AND('Mapa final'!$H$33="Baja",'Mapa final'!$L$33="Leve"),CONCATENATE("R",'Mapa final'!$A$33),"")</f>
        <v/>
      </c>
      <c r="M32" s="422"/>
      <c r="N32" s="422" t="str">
        <f>IF(AND('Mapa final'!$H$35="Baja",'Mapa final'!$L$35="Leve"),CONCATENATE("R",'Mapa final'!$A$35),"")</f>
        <v/>
      </c>
      <c r="O32" s="423"/>
      <c r="P32" s="414" t="str">
        <f>IF(AND('Mapa final'!$H$31="Baja",'Mapa final'!$L$31="Menor"),CONCATENATE("R",'Mapa final'!$A$31),"")</f>
        <v/>
      </c>
      <c r="Q32" s="414"/>
      <c r="R32" s="414" t="str">
        <f>IF(AND('Mapa final'!$H$33="Baja",'Mapa final'!$L$33="Menor"),CONCATENATE("R",'Mapa final'!$A$33),"")</f>
        <v/>
      </c>
      <c r="S32" s="414"/>
      <c r="T32" s="414" t="str">
        <f>IF(AND('Mapa final'!$H$35="Baja",'Mapa final'!$L$35="Menor"),CONCATENATE("R",'Mapa final'!$A$35),"")</f>
        <v/>
      </c>
      <c r="U32" s="415"/>
      <c r="V32" s="413" t="str">
        <f>IF(AND('Mapa final'!$H$31="Baja",'Mapa final'!$L$31="Moderado"),CONCATENATE("R",'Mapa final'!$A$31),"")</f>
        <v/>
      </c>
      <c r="W32" s="414"/>
      <c r="X32" s="414" t="str">
        <f>IF(AND('Mapa final'!$H$33="Baja",'Mapa final'!$L$33="Moderado"),CONCATENATE("R",'Mapa final'!$A$33),"")</f>
        <v/>
      </c>
      <c r="Y32" s="414"/>
      <c r="Z32" s="414" t="str">
        <f>IF(AND('Mapa final'!$H$35="Baja",'Mapa final'!$L$35="Moderado"),CONCATENATE("R",'Mapa final'!$A$35),"")</f>
        <v/>
      </c>
      <c r="AA32" s="415"/>
      <c r="AB32" s="397" t="str">
        <f>IF(AND('Mapa final'!$H$31="Baja",'Mapa final'!$L$31="Mayor"),CONCATENATE("R",'Mapa final'!$A$31),"")</f>
        <v/>
      </c>
      <c r="AC32" s="393"/>
      <c r="AD32" s="393" t="str">
        <f>IF(AND('Mapa final'!$H$33="Baja",'Mapa final'!$L$33="Mayor"),CONCATENATE("R",'Mapa final'!$A$33),"")</f>
        <v/>
      </c>
      <c r="AE32" s="393"/>
      <c r="AF32" s="393" t="str">
        <f>IF(AND('Mapa final'!$H$35="Baja",'Mapa final'!$L$35="Mayor"),CONCATENATE("R",'Mapa final'!$A$35),"")</f>
        <v/>
      </c>
      <c r="AG32" s="394"/>
      <c r="AH32" s="404" t="str">
        <f>IF(AND('Mapa final'!$H$31="Baja",'Mapa final'!$L$31="Catastrófico"),CONCATENATE("R",'Mapa final'!$A$31),"")</f>
        <v/>
      </c>
      <c r="AI32" s="405"/>
      <c r="AJ32" s="405" t="str">
        <f>IF(AND('Mapa final'!$H$33="Baja",'Mapa final'!$L$33="Catastrófico"),CONCATENATE("R",'Mapa final'!$A$33),"")</f>
        <v/>
      </c>
      <c r="AK32" s="405"/>
      <c r="AL32" s="405" t="str">
        <f>IF(AND('Mapa final'!$H$35="Baja",'Mapa final'!$L$35="Catastrófico"),CONCATENATE("R",'Mapa final'!$A$35),"")</f>
        <v/>
      </c>
      <c r="AM32" s="406"/>
      <c r="AN32" s="79"/>
      <c r="AO32" s="378"/>
      <c r="AP32" s="379"/>
      <c r="AQ32" s="379"/>
      <c r="AR32" s="379"/>
      <c r="AS32" s="379"/>
      <c r="AT32" s="380"/>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row>
    <row r="33" spans="1:80" x14ac:dyDescent="0.25">
      <c r="A33" s="79"/>
      <c r="B33" s="346"/>
      <c r="C33" s="346"/>
      <c r="D33" s="347"/>
      <c r="E33" s="387"/>
      <c r="F33" s="388"/>
      <c r="G33" s="388"/>
      <c r="H33" s="388"/>
      <c r="I33" s="388"/>
      <c r="J33" s="424"/>
      <c r="K33" s="422"/>
      <c r="L33" s="422"/>
      <c r="M33" s="422"/>
      <c r="N33" s="422"/>
      <c r="O33" s="423"/>
      <c r="P33" s="414"/>
      <c r="Q33" s="414"/>
      <c r="R33" s="414"/>
      <c r="S33" s="414"/>
      <c r="T33" s="414"/>
      <c r="U33" s="415"/>
      <c r="V33" s="413"/>
      <c r="W33" s="414"/>
      <c r="X33" s="414"/>
      <c r="Y33" s="414"/>
      <c r="Z33" s="414"/>
      <c r="AA33" s="415"/>
      <c r="AB33" s="397"/>
      <c r="AC33" s="393"/>
      <c r="AD33" s="393"/>
      <c r="AE33" s="393"/>
      <c r="AF33" s="393"/>
      <c r="AG33" s="394"/>
      <c r="AH33" s="404"/>
      <c r="AI33" s="405"/>
      <c r="AJ33" s="405"/>
      <c r="AK33" s="405"/>
      <c r="AL33" s="405"/>
      <c r="AM33" s="406"/>
      <c r="AN33" s="79"/>
      <c r="AO33" s="378"/>
      <c r="AP33" s="379"/>
      <c r="AQ33" s="379"/>
      <c r="AR33" s="379"/>
      <c r="AS33" s="379"/>
      <c r="AT33" s="380"/>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row>
    <row r="34" spans="1:80" x14ac:dyDescent="0.25">
      <c r="A34" s="79"/>
      <c r="B34" s="346"/>
      <c r="C34" s="346"/>
      <c r="D34" s="347"/>
      <c r="E34" s="387"/>
      <c r="F34" s="388"/>
      <c r="G34" s="388"/>
      <c r="H34" s="388"/>
      <c r="I34" s="388"/>
      <c r="J34" s="424" t="str">
        <f>IF(AND('Mapa final'!$H$41="Baja",'Mapa final'!$L$41="Leve"),CONCATENATE("R",'Mapa final'!$A$41),"")</f>
        <v/>
      </c>
      <c r="K34" s="422"/>
      <c r="L34" s="422" t="str">
        <f>IF(AND('Mapa final'!$H$43="Baja",'Mapa final'!$L$43="Leve"),CONCATENATE("R",'Mapa final'!$A$43),"")</f>
        <v/>
      </c>
      <c r="M34" s="422"/>
      <c r="N34" s="422" t="str">
        <f>IF(AND('Mapa final'!$H$49="Baja",'Mapa final'!$L$49="Leve"),CONCATENATE("R",'Mapa final'!$A$49),"")</f>
        <v/>
      </c>
      <c r="O34" s="423"/>
      <c r="P34" s="414" t="str">
        <f>IF(AND('Mapa final'!$H$41="Baja",'Mapa final'!$L$41="Menor"),CONCATENATE("R",'Mapa final'!$A$41),"")</f>
        <v/>
      </c>
      <c r="Q34" s="414"/>
      <c r="R34" s="414" t="str">
        <f>IF(AND('Mapa final'!$H$43="Baja",'Mapa final'!$L$43="Menor"),CONCATENATE("R",'Mapa final'!$A$43),"")</f>
        <v/>
      </c>
      <c r="S34" s="414"/>
      <c r="T34" s="414" t="str">
        <f>IF(AND('Mapa final'!$H$49="Baja",'Mapa final'!$L$49="Menor"),CONCATENATE("R",'Mapa final'!$A$49),"")</f>
        <v/>
      </c>
      <c r="U34" s="415"/>
      <c r="V34" s="413" t="str">
        <f>IF(AND('Mapa final'!$H$41="Baja",'Mapa final'!$L$41="Moderado"),CONCATENATE("R",'Mapa final'!$A$41),"")</f>
        <v/>
      </c>
      <c r="W34" s="414"/>
      <c r="X34" s="414" t="str">
        <f>IF(AND('Mapa final'!$H$43="Baja",'Mapa final'!$L$43="Moderado"),CONCATENATE("R",'Mapa final'!$A$43),"")</f>
        <v/>
      </c>
      <c r="Y34" s="414"/>
      <c r="Z34" s="414" t="str">
        <f>IF(AND('Mapa final'!$H$49="Baja",'Mapa final'!$L$49="Moderado"),CONCATENATE("R",'Mapa final'!$A$49),"")</f>
        <v/>
      </c>
      <c r="AA34" s="415"/>
      <c r="AB34" s="397" t="str">
        <f>IF(AND('Mapa final'!$H$41="Baja",'Mapa final'!$L$41="Mayor"),CONCATENATE("R",'Mapa final'!$A$41),"")</f>
        <v/>
      </c>
      <c r="AC34" s="393"/>
      <c r="AD34" s="393" t="str">
        <f>IF(AND('Mapa final'!$H$43="Baja",'Mapa final'!$L$43="Mayor"),CONCATENATE("R",'Mapa final'!$A$43),"")</f>
        <v/>
      </c>
      <c r="AE34" s="393"/>
      <c r="AF34" s="393" t="str">
        <f>IF(AND('Mapa final'!$H$49="Baja",'Mapa final'!$L$49="Mayor"),CONCATENATE("R",'Mapa final'!$A$49),"")</f>
        <v/>
      </c>
      <c r="AG34" s="394"/>
      <c r="AH34" s="404" t="str">
        <f>IF(AND('Mapa final'!$H$41="Baja",'Mapa final'!$L$41="Catastrófico"),CONCATENATE("R",'Mapa final'!$A$41),"")</f>
        <v/>
      </c>
      <c r="AI34" s="405"/>
      <c r="AJ34" s="405" t="str">
        <f>IF(AND('Mapa final'!$H$43="Baja",'Mapa final'!$L$43="Catastrófico"),CONCATENATE("R",'Mapa final'!$A$43),"")</f>
        <v/>
      </c>
      <c r="AK34" s="405"/>
      <c r="AL34" s="405" t="str">
        <f>IF(AND('Mapa final'!$H$49="Baja",'Mapa final'!$L$49="Catastrófico"),CONCATENATE("R",'Mapa final'!$A$49),"")</f>
        <v/>
      </c>
      <c r="AM34" s="406"/>
      <c r="AN34" s="79"/>
      <c r="AO34" s="378"/>
      <c r="AP34" s="379"/>
      <c r="AQ34" s="379"/>
      <c r="AR34" s="379"/>
      <c r="AS34" s="379"/>
      <c r="AT34" s="380"/>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row>
    <row r="35" spans="1:80" x14ac:dyDescent="0.25">
      <c r="A35" s="79"/>
      <c r="B35" s="346"/>
      <c r="C35" s="346"/>
      <c r="D35" s="347"/>
      <c r="E35" s="387"/>
      <c r="F35" s="388"/>
      <c r="G35" s="388"/>
      <c r="H35" s="388"/>
      <c r="I35" s="388"/>
      <c r="J35" s="424"/>
      <c r="K35" s="422"/>
      <c r="L35" s="422"/>
      <c r="M35" s="422"/>
      <c r="N35" s="422"/>
      <c r="O35" s="423"/>
      <c r="P35" s="414"/>
      <c r="Q35" s="414"/>
      <c r="R35" s="414"/>
      <c r="S35" s="414"/>
      <c r="T35" s="414"/>
      <c r="U35" s="415"/>
      <c r="V35" s="413"/>
      <c r="W35" s="414"/>
      <c r="X35" s="414"/>
      <c r="Y35" s="414"/>
      <c r="Z35" s="414"/>
      <c r="AA35" s="415"/>
      <c r="AB35" s="397"/>
      <c r="AC35" s="393"/>
      <c r="AD35" s="393"/>
      <c r="AE35" s="393"/>
      <c r="AF35" s="393"/>
      <c r="AG35" s="394"/>
      <c r="AH35" s="404"/>
      <c r="AI35" s="405"/>
      <c r="AJ35" s="405"/>
      <c r="AK35" s="405"/>
      <c r="AL35" s="405"/>
      <c r="AM35" s="406"/>
      <c r="AN35" s="79"/>
      <c r="AO35" s="378"/>
      <c r="AP35" s="379"/>
      <c r="AQ35" s="379"/>
      <c r="AR35" s="379"/>
      <c r="AS35" s="379"/>
      <c r="AT35" s="380"/>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row>
    <row r="36" spans="1:80" x14ac:dyDescent="0.25">
      <c r="A36" s="79"/>
      <c r="B36" s="346"/>
      <c r="C36" s="346"/>
      <c r="D36" s="347"/>
      <c r="E36" s="387"/>
      <c r="F36" s="388"/>
      <c r="G36" s="388"/>
      <c r="H36" s="388"/>
      <c r="I36" s="388"/>
      <c r="J36" s="424" t="str">
        <f>IF(AND('Mapa final'!$H$55="Baja",'Mapa final'!$L$55="Leve"),CONCATENATE("R",'Mapa final'!$A$55),"")</f>
        <v/>
      </c>
      <c r="K36" s="422"/>
      <c r="L36" s="422" t="str">
        <f>IF(AND('Mapa final'!$H$61="Baja",'Mapa final'!$L$61="Leve"),CONCATENATE("R",'Mapa final'!$A$61),"")</f>
        <v/>
      </c>
      <c r="M36" s="422"/>
      <c r="N36" s="422" t="str">
        <f>IF(AND('Mapa final'!$H$67="Baja",'Mapa final'!$L$67="Leve"),CONCATENATE("R",'Mapa final'!$A$67),"")</f>
        <v/>
      </c>
      <c r="O36" s="423"/>
      <c r="P36" s="414" t="str">
        <f>IF(AND('Mapa final'!$H$55="Baja",'Mapa final'!$L$55="Menor"),CONCATENATE("R",'Mapa final'!$A$55),"")</f>
        <v/>
      </c>
      <c r="Q36" s="414"/>
      <c r="R36" s="414" t="str">
        <f>IF(AND('Mapa final'!$H$61="Baja",'Mapa final'!$L$61="Menor"),CONCATENATE("R",'Mapa final'!$A$61),"")</f>
        <v/>
      </c>
      <c r="S36" s="414"/>
      <c r="T36" s="414" t="str">
        <f>IF(AND('Mapa final'!$H$67="Baja",'Mapa final'!$L$67="Menor"),CONCATENATE("R",'Mapa final'!$A$67),"")</f>
        <v/>
      </c>
      <c r="U36" s="415"/>
      <c r="V36" s="413" t="str">
        <f>IF(AND('Mapa final'!$H$55="Baja",'Mapa final'!$L$55="Moderado"),CONCATENATE("R",'Mapa final'!$A$55),"")</f>
        <v/>
      </c>
      <c r="W36" s="414"/>
      <c r="X36" s="414" t="str">
        <f>IF(AND('Mapa final'!$H$61="Baja",'Mapa final'!$L$61="Moderado"),CONCATENATE("R",'Mapa final'!$A$61),"")</f>
        <v/>
      </c>
      <c r="Y36" s="414"/>
      <c r="Z36" s="414" t="str">
        <f>IF(AND('Mapa final'!$H$67="Baja",'Mapa final'!$L$67="Moderado"),CONCATENATE("R",'Mapa final'!$A$67),"")</f>
        <v/>
      </c>
      <c r="AA36" s="415"/>
      <c r="AB36" s="397" t="str">
        <f>IF(AND('Mapa final'!$H$55="Baja",'Mapa final'!$L$55="Mayor"),CONCATENATE("R",'Mapa final'!$A$55),"")</f>
        <v/>
      </c>
      <c r="AC36" s="393"/>
      <c r="AD36" s="393" t="str">
        <f>IF(AND('Mapa final'!$H$61="Baja",'Mapa final'!$L$61="Mayor"),CONCATENATE("R",'Mapa final'!$A$61),"")</f>
        <v/>
      </c>
      <c r="AE36" s="393"/>
      <c r="AF36" s="393" t="str">
        <f>IF(AND('Mapa final'!$H$67="Baja",'Mapa final'!$L$67="Mayor"),CONCATENATE("R",'Mapa final'!$A$67),"")</f>
        <v/>
      </c>
      <c r="AG36" s="394"/>
      <c r="AH36" s="404" t="str">
        <f>IF(AND('Mapa final'!$H$55="Baja",'Mapa final'!$L$55="Catastrófico"),CONCATENATE("R",'Mapa final'!$A$55),"")</f>
        <v/>
      </c>
      <c r="AI36" s="405"/>
      <c r="AJ36" s="405" t="str">
        <f>IF(AND('Mapa final'!$H$61="Baja",'Mapa final'!$L$61="Catastrófico"),CONCATENATE("R",'Mapa final'!$A$61),"")</f>
        <v/>
      </c>
      <c r="AK36" s="405"/>
      <c r="AL36" s="405" t="str">
        <f>IF(AND('Mapa final'!$H$67="Baja",'Mapa final'!$L$67="Catastrófico"),CONCATENATE("R",'Mapa final'!$A$67),"")</f>
        <v/>
      </c>
      <c r="AM36" s="406"/>
      <c r="AN36" s="79"/>
      <c r="AO36" s="378"/>
      <c r="AP36" s="379"/>
      <c r="AQ36" s="379"/>
      <c r="AR36" s="379"/>
      <c r="AS36" s="379"/>
      <c r="AT36" s="380"/>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row>
    <row r="37" spans="1:80" ht="15.75" thickBot="1" x14ac:dyDescent="0.3">
      <c r="A37" s="79"/>
      <c r="B37" s="346"/>
      <c r="C37" s="346"/>
      <c r="D37" s="347"/>
      <c r="E37" s="390"/>
      <c r="F37" s="391"/>
      <c r="G37" s="391"/>
      <c r="H37" s="391"/>
      <c r="I37" s="391"/>
      <c r="J37" s="425"/>
      <c r="K37" s="426"/>
      <c r="L37" s="426"/>
      <c r="M37" s="426"/>
      <c r="N37" s="426"/>
      <c r="O37" s="427"/>
      <c r="P37" s="417"/>
      <c r="Q37" s="417"/>
      <c r="R37" s="417"/>
      <c r="S37" s="417"/>
      <c r="T37" s="417"/>
      <c r="U37" s="418"/>
      <c r="V37" s="416"/>
      <c r="W37" s="417"/>
      <c r="X37" s="417"/>
      <c r="Y37" s="417"/>
      <c r="Z37" s="417"/>
      <c r="AA37" s="418"/>
      <c r="AB37" s="401"/>
      <c r="AC37" s="402"/>
      <c r="AD37" s="402"/>
      <c r="AE37" s="402"/>
      <c r="AF37" s="402"/>
      <c r="AG37" s="403"/>
      <c r="AH37" s="407"/>
      <c r="AI37" s="408"/>
      <c r="AJ37" s="408"/>
      <c r="AK37" s="408"/>
      <c r="AL37" s="408"/>
      <c r="AM37" s="409"/>
      <c r="AN37" s="79"/>
      <c r="AO37" s="381"/>
      <c r="AP37" s="382"/>
      <c r="AQ37" s="382"/>
      <c r="AR37" s="382"/>
      <c r="AS37" s="382"/>
      <c r="AT37" s="383"/>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row>
    <row r="38" spans="1:80" x14ac:dyDescent="0.25">
      <c r="A38" s="79"/>
      <c r="B38" s="346"/>
      <c r="C38" s="346"/>
      <c r="D38" s="347"/>
      <c r="E38" s="384" t="s">
        <v>100</v>
      </c>
      <c r="F38" s="385"/>
      <c r="G38" s="385"/>
      <c r="H38" s="385"/>
      <c r="I38" s="386"/>
      <c r="J38" s="428" t="str">
        <f>IF(AND('Mapa final'!$H$24="Muy Baja",'Mapa final'!$L$24="Leve"),CONCATENATE("R",'Mapa final'!$A$24),"")</f>
        <v/>
      </c>
      <c r="K38" s="429"/>
      <c r="L38" s="429" t="str">
        <f>IF(AND('Mapa final'!$H$27="Muy Baja",'Mapa final'!$L$27="Leve"),CONCATENATE("R",'Mapa final'!$A$27),"")</f>
        <v/>
      </c>
      <c r="M38" s="429"/>
      <c r="N38" s="429" t="str">
        <f>IF(AND('Mapa final'!$H$30="Muy Baja",'Mapa final'!$L$30="Leve"),CONCATENATE("R",'Mapa final'!$A$30),"")</f>
        <v/>
      </c>
      <c r="O38" s="430"/>
      <c r="P38" s="428" t="str">
        <f>IF(AND('Mapa final'!$H$24="Muy Baja",'Mapa final'!$L$24="Menor"),CONCATENATE("R",'Mapa final'!$A$24),"")</f>
        <v/>
      </c>
      <c r="Q38" s="429"/>
      <c r="R38" s="429" t="str">
        <f>IF(AND('Mapa final'!$H$27="Muy Baja",'Mapa final'!$L$27="Menor"),CONCATENATE("R",'Mapa final'!$A$27),"")</f>
        <v/>
      </c>
      <c r="S38" s="429"/>
      <c r="T38" s="429" t="str">
        <f>IF(AND('Mapa final'!$H$30="Muy Baja",'Mapa final'!$L$30="Menor"),CONCATENATE("R",'Mapa final'!$A$30),"")</f>
        <v/>
      </c>
      <c r="U38" s="430"/>
      <c r="V38" s="419" t="str">
        <f>IF(AND('Mapa final'!$H$24="Muy Baja",'Mapa final'!$L$24="Moderado"),CONCATENATE("R",'Mapa final'!$A$24),"")</f>
        <v/>
      </c>
      <c r="W38" s="420"/>
      <c r="X38" s="420" t="str">
        <f>IF(AND('Mapa final'!$H$27="Muy Baja",'Mapa final'!$L$27="Moderado"),CONCATENATE("R",'Mapa final'!$A$27),"")</f>
        <v/>
      </c>
      <c r="Y38" s="420"/>
      <c r="Z38" s="420" t="str">
        <f>IF(AND('Mapa final'!$H$30="Muy Baja",'Mapa final'!$L$30="Moderado"),CONCATENATE("R",'Mapa final'!$A$30),"")</f>
        <v/>
      </c>
      <c r="AA38" s="421"/>
      <c r="AB38" s="395" t="str">
        <f>IF(AND('Mapa final'!$H$24="Muy Baja",'Mapa final'!$L$24="Mayor"),CONCATENATE("R",'Mapa final'!$A$24),"")</f>
        <v/>
      </c>
      <c r="AC38" s="396"/>
      <c r="AD38" s="396" t="str">
        <f>IF(AND('Mapa final'!$H$27="Muy Baja",'Mapa final'!$L$27="Mayor"),CONCATENATE("R",'Mapa final'!$A$27),"")</f>
        <v/>
      </c>
      <c r="AE38" s="396"/>
      <c r="AF38" s="396" t="str">
        <f>IF(AND('Mapa final'!$H$30="Muy Baja",'Mapa final'!$L$30="Mayor"),CONCATENATE("R",'Mapa final'!$A$30),"")</f>
        <v/>
      </c>
      <c r="AG38" s="398"/>
      <c r="AH38" s="410" t="str">
        <f>IF(AND('Mapa final'!$H$24="Muy Baja",'Mapa final'!$L$24="Catastrófico"),CONCATENATE("R",'Mapa final'!$A$24),"")</f>
        <v/>
      </c>
      <c r="AI38" s="411"/>
      <c r="AJ38" s="411" t="str">
        <f>IF(AND('Mapa final'!$H$27="Muy Baja",'Mapa final'!$L$27="Catastrófico"),CONCATENATE("R",'Mapa final'!$A$27),"")</f>
        <v/>
      </c>
      <c r="AK38" s="411"/>
      <c r="AL38" s="411" t="str">
        <f>IF(AND('Mapa final'!$H$30="Muy Baja",'Mapa final'!$L$30="Catastrófico"),CONCATENATE("R",'Mapa final'!$A$30),"")</f>
        <v/>
      </c>
      <c r="AM38" s="412"/>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row>
    <row r="39" spans="1:80" x14ac:dyDescent="0.25">
      <c r="A39" s="79"/>
      <c r="B39" s="346"/>
      <c r="C39" s="346"/>
      <c r="D39" s="347"/>
      <c r="E39" s="387"/>
      <c r="F39" s="388"/>
      <c r="G39" s="388"/>
      <c r="H39" s="388"/>
      <c r="I39" s="389"/>
      <c r="J39" s="424"/>
      <c r="K39" s="422"/>
      <c r="L39" s="422"/>
      <c r="M39" s="422"/>
      <c r="N39" s="422"/>
      <c r="O39" s="423"/>
      <c r="P39" s="424"/>
      <c r="Q39" s="422"/>
      <c r="R39" s="422"/>
      <c r="S39" s="422"/>
      <c r="T39" s="422"/>
      <c r="U39" s="423"/>
      <c r="V39" s="413"/>
      <c r="W39" s="414"/>
      <c r="X39" s="414"/>
      <c r="Y39" s="414"/>
      <c r="Z39" s="414"/>
      <c r="AA39" s="415"/>
      <c r="AB39" s="397"/>
      <c r="AC39" s="393"/>
      <c r="AD39" s="393"/>
      <c r="AE39" s="393"/>
      <c r="AF39" s="393"/>
      <c r="AG39" s="394"/>
      <c r="AH39" s="404"/>
      <c r="AI39" s="405"/>
      <c r="AJ39" s="405"/>
      <c r="AK39" s="405"/>
      <c r="AL39" s="405"/>
      <c r="AM39" s="406"/>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row>
    <row r="40" spans="1:80" x14ac:dyDescent="0.25">
      <c r="A40" s="79"/>
      <c r="B40" s="346"/>
      <c r="C40" s="346"/>
      <c r="D40" s="347"/>
      <c r="E40" s="387"/>
      <c r="F40" s="388"/>
      <c r="G40" s="388"/>
      <c r="H40" s="388"/>
      <c r="I40" s="389"/>
      <c r="J40" s="424" t="str">
        <f>IF(AND('Mapa final'!$H$31="Muy Baja",'Mapa final'!$L$31="Leve"),CONCATENATE("R",'Mapa final'!$A$31),"")</f>
        <v/>
      </c>
      <c r="K40" s="422"/>
      <c r="L40" s="422" t="str">
        <f>IF(AND('Mapa final'!$H$33="Muy Baja",'Mapa final'!$L$33="Leve"),CONCATENATE("R",'Mapa final'!$A$33),"")</f>
        <v/>
      </c>
      <c r="M40" s="422"/>
      <c r="N40" s="422" t="str">
        <f>IF(AND('Mapa final'!$H$35="Muy Baja",'Mapa final'!$L$35="Leve"),CONCATENATE("R",'Mapa final'!$A$35),"")</f>
        <v/>
      </c>
      <c r="O40" s="423"/>
      <c r="P40" s="424" t="str">
        <f>IF(AND('Mapa final'!$H$31="Muy Baja",'Mapa final'!$L$31="Menor"),CONCATENATE("R",'Mapa final'!$A$31),"")</f>
        <v/>
      </c>
      <c r="Q40" s="422"/>
      <c r="R40" s="422" t="str">
        <f>IF(AND('Mapa final'!$H$33="Muy Baja",'Mapa final'!$L$33="Menor"),CONCATENATE("R",'Mapa final'!$A$33),"")</f>
        <v/>
      </c>
      <c r="S40" s="422"/>
      <c r="T40" s="422" t="str">
        <f>IF(AND('Mapa final'!$H$35="Muy Baja",'Mapa final'!$L$35="Menor"),CONCATENATE("R",'Mapa final'!$A$35),"")</f>
        <v/>
      </c>
      <c r="U40" s="423"/>
      <c r="V40" s="413" t="str">
        <f>IF(AND('Mapa final'!$H$31="Muy Baja",'Mapa final'!$L$31="Moderado"),CONCATENATE("R",'Mapa final'!$A$31),"")</f>
        <v/>
      </c>
      <c r="W40" s="414"/>
      <c r="X40" s="414" t="str">
        <f>IF(AND('Mapa final'!$H$33="Muy Baja",'Mapa final'!$L$33="Moderado"),CONCATENATE("R",'Mapa final'!$A$33),"")</f>
        <v/>
      </c>
      <c r="Y40" s="414"/>
      <c r="Z40" s="414" t="str">
        <f>IF(AND('Mapa final'!$H$35="Muy Baja",'Mapa final'!$L$35="Moderado"),CONCATENATE("R",'Mapa final'!$A$35),"")</f>
        <v/>
      </c>
      <c r="AA40" s="415"/>
      <c r="AB40" s="397" t="str">
        <f>IF(AND('Mapa final'!$H$31="Muy Baja",'Mapa final'!$L$31="Mayor"),CONCATENATE("R",'Mapa final'!$A$31),"")</f>
        <v/>
      </c>
      <c r="AC40" s="393"/>
      <c r="AD40" s="393" t="str">
        <f>IF(AND('Mapa final'!$H$33="Muy Baja",'Mapa final'!$L$33="Mayor"),CONCATENATE("R",'Mapa final'!$A$33),"")</f>
        <v/>
      </c>
      <c r="AE40" s="393"/>
      <c r="AF40" s="393" t="str">
        <f>IF(AND('Mapa final'!$H$35="Muy Baja",'Mapa final'!$L$35="Mayor"),CONCATENATE("R",'Mapa final'!$A$35),"")</f>
        <v/>
      </c>
      <c r="AG40" s="394"/>
      <c r="AH40" s="404" t="str">
        <f>IF(AND('Mapa final'!$H$31="Muy Baja",'Mapa final'!$L$31="Catastrófico"),CONCATENATE("R",'Mapa final'!$A$31),"")</f>
        <v/>
      </c>
      <c r="AI40" s="405"/>
      <c r="AJ40" s="405" t="str">
        <f>IF(AND('Mapa final'!$H$33="Muy Baja",'Mapa final'!$L$33="Catastrófico"),CONCATENATE("R",'Mapa final'!$A$33),"")</f>
        <v/>
      </c>
      <c r="AK40" s="405"/>
      <c r="AL40" s="405" t="str">
        <f>IF(AND('Mapa final'!$H$35="Muy Baja",'Mapa final'!$L$35="Catastrófico"),CONCATENATE("R",'Mapa final'!$A$35),"")</f>
        <v/>
      </c>
      <c r="AM40" s="406"/>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row>
    <row r="41" spans="1:80" x14ac:dyDescent="0.25">
      <c r="A41" s="79"/>
      <c r="B41" s="346"/>
      <c r="C41" s="346"/>
      <c r="D41" s="347"/>
      <c r="E41" s="387"/>
      <c r="F41" s="388"/>
      <c r="G41" s="388"/>
      <c r="H41" s="388"/>
      <c r="I41" s="389"/>
      <c r="J41" s="424"/>
      <c r="K41" s="422"/>
      <c r="L41" s="422"/>
      <c r="M41" s="422"/>
      <c r="N41" s="422"/>
      <c r="O41" s="423"/>
      <c r="P41" s="424"/>
      <c r="Q41" s="422"/>
      <c r="R41" s="422"/>
      <c r="S41" s="422"/>
      <c r="T41" s="422"/>
      <c r="U41" s="423"/>
      <c r="V41" s="413"/>
      <c r="W41" s="414"/>
      <c r="X41" s="414"/>
      <c r="Y41" s="414"/>
      <c r="Z41" s="414"/>
      <c r="AA41" s="415"/>
      <c r="AB41" s="397"/>
      <c r="AC41" s="393"/>
      <c r="AD41" s="393"/>
      <c r="AE41" s="393"/>
      <c r="AF41" s="393"/>
      <c r="AG41" s="394"/>
      <c r="AH41" s="404"/>
      <c r="AI41" s="405"/>
      <c r="AJ41" s="405"/>
      <c r="AK41" s="405"/>
      <c r="AL41" s="405"/>
      <c r="AM41" s="406"/>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row>
    <row r="42" spans="1:80" x14ac:dyDescent="0.25">
      <c r="A42" s="79"/>
      <c r="B42" s="346"/>
      <c r="C42" s="346"/>
      <c r="D42" s="347"/>
      <c r="E42" s="387"/>
      <c r="F42" s="388"/>
      <c r="G42" s="388"/>
      <c r="H42" s="388"/>
      <c r="I42" s="389"/>
      <c r="J42" s="424" t="str">
        <f>IF(AND('Mapa final'!$H$41="Muy Baja",'Mapa final'!$L$41="Leve"),CONCATENATE("R",'Mapa final'!$A$41),"")</f>
        <v/>
      </c>
      <c r="K42" s="422"/>
      <c r="L42" s="422" t="str">
        <f>IF(AND('Mapa final'!$H$43="Muy Baja",'Mapa final'!$L$43="Leve"),CONCATENATE("R",'Mapa final'!$A$43),"")</f>
        <v/>
      </c>
      <c r="M42" s="422"/>
      <c r="N42" s="422" t="str">
        <f>IF(AND('Mapa final'!$H$49="Muy Baja",'Mapa final'!$L$49="Leve"),CONCATENATE("R",'Mapa final'!$A$49),"")</f>
        <v/>
      </c>
      <c r="O42" s="423"/>
      <c r="P42" s="424" t="str">
        <f>IF(AND('Mapa final'!$H$41="Muy Baja",'Mapa final'!$L$41="Menor"),CONCATENATE("R",'Mapa final'!$A$41),"")</f>
        <v/>
      </c>
      <c r="Q42" s="422"/>
      <c r="R42" s="422" t="str">
        <f>IF(AND('Mapa final'!$H$43="Muy Baja",'Mapa final'!$L$43="Menor"),CONCATENATE("R",'Mapa final'!$A$43),"")</f>
        <v/>
      </c>
      <c r="S42" s="422"/>
      <c r="T42" s="422" t="str">
        <f>IF(AND('Mapa final'!$H$49="Muy Baja",'Mapa final'!$L$49="Menor"),CONCATENATE("R",'Mapa final'!$A$49),"")</f>
        <v/>
      </c>
      <c r="U42" s="423"/>
      <c r="V42" s="413" t="str">
        <f>IF(AND('Mapa final'!$H$41="Muy Baja",'Mapa final'!$L$41="Moderado"),CONCATENATE("R",'Mapa final'!$A$41),"")</f>
        <v/>
      </c>
      <c r="W42" s="414"/>
      <c r="X42" s="414" t="str">
        <f>IF(AND('Mapa final'!$H$43="Muy Baja",'Mapa final'!$L$43="Moderado"),CONCATENATE("R",'Mapa final'!$A$43),"")</f>
        <v/>
      </c>
      <c r="Y42" s="414"/>
      <c r="Z42" s="414" t="str">
        <f>IF(AND('Mapa final'!$H$49="Muy Baja",'Mapa final'!$L$49="Moderado"),CONCATENATE("R",'Mapa final'!$A$49),"")</f>
        <v/>
      </c>
      <c r="AA42" s="415"/>
      <c r="AB42" s="397" t="str">
        <f>IF(AND('Mapa final'!$H$41="Muy Baja",'Mapa final'!$L$41="Mayor"),CONCATENATE("R",'Mapa final'!$A$41),"")</f>
        <v/>
      </c>
      <c r="AC42" s="393"/>
      <c r="AD42" s="393" t="str">
        <f>IF(AND('Mapa final'!$H$43="Muy Baja",'Mapa final'!$L$43="Mayor"),CONCATENATE("R",'Mapa final'!$A$43),"")</f>
        <v/>
      </c>
      <c r="AE42" s="393"/>
      <c r="AF42" s="393" t="str">
        <f>IF(AND('Mapa final'!$H$49="Muy Baja",'Mapa final'!$L$49="Mayor"),CONCATENATE("R",'Mapa final'!$A$49),"")</f>
        <v/>
      </c>
      <c r="AG42" s="394"/>
      <c r="AH42" s="404" t="str">
        <f>IF(AND('Mapa final'!$H$41="Muy Baja",'Mapa final'!$L$41="Catastrófico"),CONCATENATE("R",'Mapa final'!$A$41),"")</f>
        <v/>
      </c>
      <c r="AI42" s="405"/>
      <c r="AJ42" s="405" t="str">
        <f>IF(AND('Mapa final'!$H$43="Muy Baja",'Mapa final'!$L$43="Catastrófico"),CONCATENATE("R",'Mapa final'!$A$43),"")</f>
        <v/>
      </c>
      <c r="AK42" s="405"/>
      <c r="AL42" s="405" t="str">
        <f>IF(AND('Mapa final'!$H$49="Muy Baja",'Mapa final'!$L$49="Catastrófico"),CONCATENATE("R",'Mapa final'!$A$49),"")</f>
        <v/>
      </c>
      <c r="AM42" s="406"/>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row>
    <row r="43" spans="1:80" x14ac:dyDescent="0.25">
      <c r="A43" s="79"/>
      <c r="B43" s="346"/>
      <c r="C43" s="346"/>
      <c r="D43" s="347"/>
      <c r="E43" s="387"/>
      <c r="F43" s="388"/>
      <c r="G43" s="388"/>
      <c r="H43" s="388"/>
      <c r="I43" s="389"/>
      <c r="J43" s="424"/>
      <c r="K43" s="422"/>
      <c r="L43" s="422"/>
      <c r="M43" s="422"/>
      <c r="N43" s="422"/>
      <c r="O43" s="423"/>
      <c r="P43" s="424"/>
      <c r="Q43" s="422"/>
      <c r="R43" s="422"/>
      <c r="S43" s="422"/>
      <c r="T43" s="422"/>
      <c r="U43" s="423"/>
      <c r="V43" s="413"/>
      <c r="W43" s="414"/>
      <c r="X43" s="414"/>
      <c r="Y43" s="414"/>
      <c r="Z43" s="414"/>
      <c r="AA43" s="415"/>
      <c r="AB43" s="397"/>
      <c r="AC43" s="393"/>
      <c r="AD43" s="393"/>
      <c r="AE43" s="393"/>
      <c r="AF43" s="393"/>
      <c r="AG43" s="394"/>
      <c r="AH43" s="404"/>
      <c r="AI43" s="405"/>
      <c r="AJ43" s="405"/>
      <c r="AK43" s="405"/>
      <c r="AL43" s="405"/>
      <c r="AM43" s="406"/>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row>
    <row r="44" spans="1:80" x14ac:dyDescent="0.25">
      <c r="A44" s="79"/>
      <c r="B44" s="346"/>
      <c r="C44" s="346"/>
      <c r="D44" s="347"/>
      <c r="E44" s="387"/>
      <c r="F44" s="388"/>
      <c r="G44" s="388"/>
      <c r="H44" s="388"/>
      <c r="I44" s="389"/>
      <c r="J44" s="424" t="str">
        <f>IF(AND('Mapa final'!$H$55="Muy Baja",'Mapa final'!$L$55="Leve"),CONCATENATE("R",'Mapa final'!$A$55),"")</f>
        <v/>
      </c>
      <c r="K44" s="422"/>
      <c r="L44" s="422" t="str">
        <f>IF(AND('Mapa final'!$H$61="Muy Baja",'Mapa final'!$L$61="Leve"),CONCATENATE("R",'Mapa final'!$A$61),"")</f>
        <v/>
      </c>
      <c r="M44" s="422"/>
      <c r="N44" s="422" t="str">
        <f>IF(AND('Mapa final'!$H$67="Muy Baja",'Mapa final'!$L$67="Leve"),CONCATENATE("R",'Mapa final'!$A$67),"")</f>
        <v/>
      </c>
      <c r="O44" s="423"/>
      <c r="P44" s="424" t="str">
        <f>IF(AND('Mapa final'!$H$55="Muy Baja",'Mapa final'!$L$55="Menor"),CONCATENATE("R",'Mapa final'!$A$55),"")</f>
        <v/>
      </c>
      <c r="Q44" s="422"/>
      <c r="R44" s="422" t="str">
        <f>IF(AND('Mapa final'!$H$61="Muy Baja",'Mapa final'!$L$61="Menor"),CONCATENATE("R",'Mapa final'!$A$61),"")</f>
        <v/>
      </c>
      <c r="S44" s="422"/>
      <c r="T44" s="422" t="str">
        <f>IF(AND('Mapa final'!$H$67="Muy Baja",'Mapa final'!$L$67="Menor"),CONCATENATE("R",'Mapa final'!$A$67),"")</f>
        <v/>
      </c>
      <c r="U44" s="423"/>
      <c r="V44" s="413" t="str">
        <f>IF(AND('Mapa final'!$H$55="Muy Baja",'Mapa final'!$L$55="Moderado"),CONCATENATE("R",'Mapa final'!$A$55),"")</f>
        <v/>
      </c>
      <c r="W44" s="414"/>
      <c r="X44" s="414" t="str">
        <f>IF(AND('Mapa final'!$H$61="Muy Baja",'Mapa final'!$L$61="Moderado"),CONCATENATE("R",'Mapa final'!$A$61),"")</f>
        <v/>
      </c>
      <c r="Y44" s="414"/>
      <c r="Z44" s="414" t="str">
        <f>IF(AND('Mapa final'!$H$67="Muy Baja",'Mapa final'!$L$67="Moderado"),CONCATENATE("R",'Mapa final'!$A$67),"")</f>
        <v/>
      </c>
      <c r="AA44" s="415"/>
      <c r="AB44" s="397" t="str">
        <f>IF(AND('Mapa final'!$H$55="Muy Baja",'Mapa final'!$L$55="Mayor"),CONCATENATE("R",'Mapa final'!$A$55),"")</f>
        <v/>
      </c>
      <c r="AC44" s="393"/>
      <c r="AD44" s="393" t="str">
        <f>IF(AND('Mapa final'!$H$61="Muy Baja",'Mapa final'!$L$61="Mayor"),CONCATENATE("R",'Mapa final'!$A$61),"")</f>
        <v/>
      </c>
      <c r="AE44" s="393"/>
      <c r="AF44" s="393" t="str">
        <f>IF(AND('Mapa final'!$H$67="Muy Baja",'Mapa final'!$L$67="Mayor"),CONCATENATE("R",'Mapa final'!$A$67),"")</f>
        <v/>
      </c>
      <c r="AG44" s="394"/>
      <c r="AH44" s="404" t="str">
        <f>IF(AND('Mapa final'!$H$55="Muy Baja",'Mapa final'!$L$55="Catastrófico"),CONCATENATE("R",'Mapa final'!$A$55),"")</f>
        <v/>
      </c>
      <c r="AI44" s="405"/>
      <c r="AJ44" s="405" t="str">
        <f>IF(AND('Mapa final'!$H$61="Muy Baja",'Mapa final'!$L$61="Catastrófico"),CONCATENATE("R",'Mapa final'!$A$61),"")</f>
        <v/>
      </c>
      <c r="AK44" s="405"/>
      <c r="AL44" s="405" t="str">
        <f>IF(AND('Mapa final'!$H$67="Muy Baja",'Mapa final'!$L$67="Catastrófico"),CONCATENATE("R",'Mapa final'!$A$67),"")</f>
        <v/>
      </c>
      <c r="AM44" s="406"/>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row>
    <row r="45" spans="1:80" ht="15.75" thickBot="1" x14ac:dyDescent="0.3">
      <c r="A45" s="79"/>
      <c r="B45" s="346"/>
      <c r="C45" s="346"/>
      <c r="D45" s="347"/>
      <c r="E45" s="390"/>
      <c r="F45" s="391"/>
      <c r="G45" s="391"/>
      <c r="H45" s="391"/>
      <c r="I45" s="392"/>
      <c r="J45" s="425"/>
      <c r="K45" s="426"/>
      <c r="L45" s="426"/>
      <c r="M45" s="426"/>
      <c r="N45" s="426"/>
      <c r="O45" s="427"/>
      <c r="P45" s="425"/>
      <c r="Q45" s="426"/>
      <c r="R45" s="426"/>
      <c r="S45" s="426"/>
      <c r="T45" s="426"/>
      <c r="U45" s="427"/>
      <c r="V45" s="416"/>
      <c r="W45" s="417"/>
      <c r="X45" s="417"/>
      <c r="Y45" s="417"/>
      <c r="Z45" s="417"/>
      <c r="AA45" s="418"/>
      <c r="AB45" s="401"/>
      <c r="AC45" s="402"/>
      <c r="AD45" s="402"/>
      <c r="AE45" s="402"/>
      <c r="AF45" s="402"/>
      <c r="AG45" s="403"/>
      <c r="AH45" s="407"/>
      <c r="AI45" s="408"/>
      <c r="AJ45" s="408"/>
      <c r="AK45" s="408"/>
      <c r="AL45" s="408"/>
      <c r="AM45" s="40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row>
    <row r="46" spans="1:80" x14ac:dyDescent="0.25">
      <c r="A46" s="79"/>
      <c r="B46" s="79"/>
      <c r="C46" s="79"/>
      <c r="D46" s="79"/>
      <c r="E46" s="79"/>
      <c r="F46" s="79"/>
      <c r="G46" s="79"/>
      <c r="H46" s="79"/>
      <c r="I46" s="79"/>
      <c r="J46" s="384" t="s">
        <v>101</v>
      </c>
      <c r="K46" s="385"/>
      <c r="L46" s="385"/>
      <c r="M46" s="385"/>
      <c r="N46" s="385"/>
      <c r="O46" s="386"/>
      <c r="P46" s="384" t="s">
        <v>102</v>
      </c>
      <c r="Q46" s="385"/>
      <c r="R46" s="385"/>
      <c r="S46" s="385"/>
      <c r="T46" s="385"/>
      <c r="U46" s="386"/>
      <c r="V46" s="384" t="s">
        <v>103</v>
      </c>
      <c r="W46" s="385"/>
      <c r="X46" s="385"/>
      <c r="Y46" s="385"/>
      <c r="Z46" s="385"/>
      <c r="AA46" s="386"/>
      <c r="AB46" s="384" t="s">
        <v>104</v>
      </c>
      <c r="AC46" s="400"/>
      <c r="AD46" s="385"/>
      <c r="AE46" s="385"/>
      <c r="AF46" s="385"/>
      <c r="AG46" s="386"/>
      <c r="AH46" s="384" t="s">
        <v>105</v>
      </c>
      <c r="AI46" s="385"/>
      <c r="AJ46" s="385"/>
      <c r="AK46" s="385"/>
      <c r="AL46" s="385"/>
      <c r="AM46" s="386"/>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row>
    <row r="47" spans="1:80" x14ac:dyDescent="0.25">
      <c r="A47" s="79"/>
      <c r="B47" s="79"/>
      <c r="C47" s="79"/>
      <c r="D47" s="79"/>
      <c r="E47" s="79"/>
      <c r="F47" s="79"/>
      <c r="G47" s="79"/>
      <c r="H47" s="79"/>
      <c r="I47" s="79"/>
      <c r="J47" s="387"/>
      <c r="K47" s="388"/>
      <c r="L47" s="388"/>
      <c r="M47" s="388"/>
      <c r="N47" s="388"/>
      <c r="O47" s="389"/>
      <c r="P47" s="387"/>
      <c r="Q47" s="388"/>
      <c r="R47" s="388"/>
      <c r="S47" s="388"/>
      <c r="T47" s="388"/>
      <c r="U47" s="389"/>
      <c r="V47" s="387"/>
      <c r="W47" s="388"/>
      <c r="X47" s="388"/>
      <c r="Y47" s="388"/>
      <c r="Z47" s="388"/>
      <c r="AA47" s="389"/>
      <c r="AB47" s="387"/>
      <c r="AC47" s="388"/>
      <c r="AD47" s="388"/>
      <c r="AE47" s="388"/>
      <c r="AF47" s="388"/>
      <c r="AG47" s="389"/>
      <c r="AH47" s="387"/>
      <c r="AI47" s="388"/>
      <c r="AJ47" s="388"/>
      <c r="AK47" s="388"/>
      <c r="AL47" s="388"/>
      <c r="AM47" s="38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row>
    <row r="48" spans="1:80" x14ac:dyDescent="0.25">
      <c r="A48" s="79"/>
      <c r="B48" s="79"/>
      <c r="C48" s="79"/>
      <c r="D48" s="79"/>
      <c r="E48" s="79"/>
      <c r="F48" s="79"/>
      <c r="G48" s="79"/>
      <c r="H48" s="79"/>
      <c r="I48" s="79"/>
      <c r="J48" s="387"/>
      <c r="K48" s="388"/>
      <c r="L48" s="388"/>
      <c r="M48" s="388"/>
      <c r="N48" s="388"/>
      <c r="O48" s="389"/>
      <c r="P48" s="387"/>
      <c r="Q48" s="388"/>
      <c r="R48" s="388"/>
      <c r="S48" s="388"/>
      <c r="T48" s="388"/>
      <c r="U48" s="389"/>
      <c r="V48" s="387"/>
      <c r="W48" s="388"/>
      <c r="X48" s="388"/>
      <c r="Y48" s="388"/>
      <c r="Z48" s="388"/>
      <c r="AA48" s="389"/>
      <c r="AB48" s="387"/>
      <c r="AC48" s="388"/>
      <c r="AD48" s="388"/>
      <c r="AE48" s="388"/>
      <c r="AF48" s="388"/>
      <c r="AG48" s="389"/>
      <c r="AH48" s="387"/>
      <c r="AI48" s="388"/>
      <c r="AJ48" s="388"/>
      <c r="AK48" s="388"/>
      <c r="AL48" s="388"/>
      <c r="AM48" s="38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row>
    <row r="49" spans="1:80" x14ac:dyDescent="0.25">
      <c r="A49" s="79"/>
      <c r="B49" s="79"/>
      <c r="C49" s="79"/>
      <c r="D49" s="79"/>
      <c r="E49" s="79"/>
      <c r="F49" s="79"/>
      <c r="G49" s="79"/>
      <c r="H49" s="79"/>
      <c r="I49" s="79"/>
      <c r="J49" s="387"/>
      <c r="K49" s="388"/>
      <c r="L49" s="388"/>
      <c r="M49" s="388"/>
      <c r="N49" s="388"/>
      <c r="O49" s="389"/>
      <c r="P49" s="387"/>
      <c r="Q49" s="388"/>
      <c r="R49" s="388"/>
      <c r="S49" s="388"/>
      <c r="T49" s="388"/>
      <c r="U49" s="389"/>
      <c r="V49" s="387"/>
      <c r="W49" s="388"/>
      <c r="X49" s="388"/>
      <c r="Y49" s="388"/>
      <c r="Z49" s="388"/>
      <c r="AA49" s="389"/>
      <c r="AB49" s="387"/>
      <c r="AC49" s="388"/>
      <c r="AD49" s="388"/>
      <c r="AE49" s="388"/>
      <c r="AF49" s="388"/>
      <c r="AG49" s="389"/>
      <c r="AH49" s="387"/>
      <c r="AI49" s="388"/>
      <c r="AJ49" s="388"/>
      <c r="AK49" s="388"/>
      <c r="AL49" s="388"/>
      <c r="AM49" s="38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row>
    <row r="50" spans="1:80" x14ac:dyDescent="0.25">
      <c r="A50" s="79"/>
      <c r="B50" s="79"/>
      <c r="C50" s="79"/>
      <c r="D50" s="79"/>
      <c r="E50" s="79"/>
      <c r="F50" s="79"/>
      <c r="G50" s="79"/>
      <c r="H50" s="79"/>
      <c r="I50" s="79"/>
      <c r="J50" s="387"/>
      <c r="K50" s="388"/>
      <c r="L50" s="388"/>
      <c r="M50" s="388"/>
      <c r="N50" s="388"/>
      <c r="O50" s="389"/>
      <c r="P50" s="387"/>
      <c r="Q50" s="388"/>
      <c r="R50" s="388"/>
      <c r="S50" s="388"/>
      <c r="T50" s="388"/>
      <c r="U50" s="389"/>
      <c r="V50" s="387"/>
      <c r="W50" s="388"/>
      <c r="X50" s="388"/>
      <c r="Y50" s="388"/>
      <c r="Z50" s="388"/>
      <c r="AA50" s="389"/>
      <c r="AB50" s="387"/>
      <c r="AC50" s="388"/>
      <c r="AD50" s="388"/>
      <c r="AE50" s="388"/>
      <c r="AF50" s="388"/>
      <c r="AG50" s="389"/>
      <c r="AH50" s="387"/>
      <c r="AI50" s="388"/>
      <c r="AJ50" s="388"/>
      <c r="AK50" s="388"/>
      <c r="AL50" s="388"/>
      <c r="AM50" s="38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row>
    <row r="51" spans="1:80" ht="15.75" thickBot="1" x14ac:dyDescent="0.3">
      <c r="A51" s="79"/>
      <c r="B51" s="79"/>
      <c r="C51" s="79"/>
      <c r="D51" s="79"/>
      <c r="E51" s="79"/>
      <c r="F51" s="79"/>
      <c r="G51" s="79"/>
      <c r="H51" s="79"/>
      <c r="I51" s="79"/>
      <c r="J51" s="390"/>
      <c r="K51" s="391"/>
      <c r="L51" s="391"/>
      <c r="M51" s="391"/>
      <c r="N51" s="391"/>
      <c r="O51" s="392"/>
      <c r="P51" s="390"/>
      <c r="Q51" s="391"/>
      <c r="R51" s="391"/>
      <c r="S51" s="391"/>
      <c r="T51" s="391"/>
      <c r="U51" s="392"/>
      <c r="V51" s="390"/>
      <c r="W51" s="391"/>
      <c r="X51" s="391"/>
      <c r="Y51" s="391"/>
      <c r="Z51" s="391"/>
      <c r="AA51" s="392"/>
      <c r="AB51" s="390"/>
      <c r="AC51" s="391"/>
      <c r="AD51" s="391"/>
      <c r="AE51" s="391"/>
      <c r="AF51" s="391"/>
      <c r="AG51" s="392"/>
      <c r="AH51" s="390"/>
      <c r="AI51" s="391"/>
      <c r="AJ51" s="391"/>
      <c r="AK51" s="391"/>
      <c r="AL51" s="391"/>
      <c r="AM51" s="392"/>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row>
    <row r="52" spans="1:80" x14ac:dyDescent="0.2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row>
    <row r="53" spans="1:80" ht="15" customHeight="1" x14ac:dyDescent="0.25">
      <c r="A53" s="79"/>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row>
    <row r="54" spans="1:80" ht="15" customHeight="1" x14ac:dyDescent="0.25">
      <c r="A54" s="79"/>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row>
    <row r="55" spans="1:80" x14ac:dyDescent="0.2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row>
    <row r="56" spans="1:80" x14ac:dyDescent="0.2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row>
    <row r="57" spans="1:80" x14ac:dyDescent="0.25">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row>
    <row r="58" spans="1:80" x14ac:dyDescent="0.2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row>
    <row r="59" spans="1:80" x14ac:dyDescent="0.2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row>
    <row r="60" spans="1:80" x14ac:dyDescent="0.2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row>
    <row r="61" spans="1:80" x14ac:dyDescent="0.2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row>
    <row r="62" spans="1:80" x14ac:dyDescent="0.2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row>
    <row r="63" spans="1:80" x14ac:dyDescent="0.2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row>
    <row r="64" spans="1:80" x14ac:dyDescent="0.25">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row>
    <row r="65" spans="1:80" x14ac:dyDescent="0.2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row>
    <row r="66" spans="1:80" x14ac:dyDescent="0.2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row>
    <row r="67" spans="1:80" x14ac:dyDescent="0.2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row>
    <row r="68" spans="1:80" x14ac:dyDescent="0.2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row>
    <row r="69" spans="1:80" x14ac:dyDescent="0.2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row>
    <row r="70" spans="1:80" x14ac:dyDescent="0.2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row>
    <row r="71" spans="1:80" x14ac:dyDescent="0.2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row>
    <row r="72" spans="1:80" x14ac:dyDescent="0.2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row>
    <row r="73" spans="1:80" x14ac:dyDescent="0.2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row>
    <row r="74" spans="1:80" x14ac:dyDescent="0.2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row>
    <row r="75" spans="1:80" x14ac:dyDescent="0.2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row>
    <row r="76" spans="1:80" x14ac:dyDescent="0.2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row>
    <row r="77" spans="1:80" x14ac:dyDescent="0.2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row>
    <row r="78" spans="1:80" x14ac:dyDescent="0.2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row>
    <row r="79" spans="1:80" x14ac:dyDescent="0.2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row>
    <row r="80" spans="1:80" x14ac:dyDescent="0.2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row>
    <row r="81" spans="1:63" x14ac:dyDescent="0.2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row>
    <row r="82" spans="1:63" x14ac:dyDescent="0.2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row>
    <row r="83" spans="1:63" x14ac:dyDescent="0.2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row>
    <row r="84" spans="1:63" x14ac:dyDescent="0.2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row>
    <row r="85" spans="1:63" x14ac:dyDescent="0.2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row>
    <row r="86" spans="1:63" x14ac:dyDescent="0.2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row>
    <row r="87" spans="1:63" x14ac:dyDescent="0.2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row>
    <row r="88" spans="1:63" x14ac:dyDescent="0.2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row>
    <row r="89" spans="1:63" x14ac:dyDescent="0.2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row>
    <row r="90" spans="1:63" x14ac:dyDescent="0.2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row>
    <row r="91" spans="1:63" x14ac:dyDescent="0.2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row>
    <row r="92" spans="1:63" x14ac:dyDescent="0.2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row>
    <row r="93" spans="1:63" x14ac:dyDescent="0.2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row>
    <row r="94" spans="1:63" x14ac:dyDescent="0.2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row>
    <row r="95" spans="1:63" x14ac:dyDescent="0.2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row>
    <row r="96" spans="1:63" x14ac:dyDescent="0.2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row>
    <row r="97" spans="1:63" x14ac:dyDescent="0.2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row>
    <row r="98" spans="1:63" x14ac:dyDescent="0.2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row>
    <row r="99" spans="1:63" x14ac:dyDescent="0.2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row>
    <row r="100" spans="1:63" x14ac:dyDescent="0.2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row>
    <row r="101" spans="1:63" x14ac:dyDescent="0.25">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row>
    <row r="102" spans="1:63" x14ac:dyDescent="0.25">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row>
    <row r="103" spans="1:63" x14ac:dyDescent="0.25">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row>
    <row r="104" spans="1:63" x14ac:dyDescent="0.25">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row>
    <row r="105" spans="1:63" x14ac:dyDescent="0.25">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row>
    <row r="106" spans="1:63" x14ac:dyDescent="0.25">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row>
    <row r="107" spans="1:63" x14ac:dyDescent="0.25">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row>
    <row r="108" spans="1:63" x14ac:dyDescent="0.25">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row>
    <row r="109" spans="1:63" x14ac:dyDescent="0.25">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row>
    <row r="110" spans="1:63" x14ac:dyDescent="0.25">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row>
    <row r="111" spans="1:63" x14ac:dyDescent="0.25">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row>
    <row r="112" spans="1:63" x14ac:dyDescent="0.25">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row>
    <row r="113" spans="1:63" x14ac:dyDescent="0.25">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row>
    <row r="114" spans="1:63" x14ac:dyDescent="0.25">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row>
    <row r="115" spans="1:63" x14ac:dyDescent="0.25">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row>
    <row r="116" spans="1:63" x14ac:dyDescent="0.25">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row>
    <row r="117" spans="1:63" x14ac:dyDescent="0.25">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row>
    <row r="118" spans="1:63" x14ac:dyDescent="0.25">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row>
    <row r="119" spans="1:63" x14ac:dyDescent="0.25">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row>
    <row r="120" spans="1:63" x14ac:dyDescent="0.25">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row>
    <row r="121" spans="1:63" x14ac:dyDescent="0.25">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row>
    <row r="122" spans="1:63" x14ac:dyDescent="0.25">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row>
    <row r="123" spans="1:63" x14ac:dyDescent="0.25">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row>
    <row r="124" spans="1:63" x14ac:dyDescent="0.25">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row>
    <row r="125" spans="1:63" x14ac:dyDescent="0.25">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row>
    <row r="126" spans="1:63" x14ac:dyDescent="0.25">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row>
    <row r="127" spans="1:63" x14ac:dyDescent="0.25">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row>
    <row r="128" spans="1:63" x14ac:dyDescent="0.25">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row>
    <row r="129" spans="2:63" x14ac:dyDescent="0.25">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row>
    <row r="130" spans="2:63" x14ac:dyDescent="0.25">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row>
    <row r="131" spans="2:63" x14ac:dyDescent="0.25">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row>
    <row r="132" spans="2:63" x14ac:dyDescent="0.25">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row>
    <row r="133" spans="2:63" x14ac:dyDescent="0.25">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row>
    <row r="134" spans="2:63" x14ac:dyDescent="0.25">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row>
    <row r="135" spans="2:63" x14ac:dyDescent="0.25">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row>
    <row r="136" spans="2:63" x14ac:dyDescent="0.25">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row>
    <row r="137" spans="2:63" x14ac:dyDescent="0.25">
      <c r="B137" s="79"/>
      <c r="C137" s="79"/>
      <c r="D137" s="79"/>
      <c r="E137" s="79"/>
      <c r="F137" s="79"/>
      <c r="G137" s="79"/>
      <c r="H137" s="79"/>
      <c r="I137" s="79"/>
    </row>
    <row r="138" spans="2:63" x14ac:dyDescent="0.25">
      <c r="B138" s="79"/>
      <c r="C138" s="79"/>
      <c r="D138" s="79"/>
      <c r="E138" s="79"/>
      <c r="F138" s="79"/>
      <c r="G138" s="79"/>
      <c r="H138" s="79"/>
      <c r="I138" s="79"/>
    </row>
    <row r="139" spans="2:63" x14ac:dyDescent="0.25">
      <c r="B139" s="79"/>
      <c r="C139" s="79"/>
      <c r="D139" s="79"/>
      <c r="E139" s="79"/>
      <c r="F139" s="79"/>
      <c r="G139" s="79"/>
      <c r="H139" s="79"/>
      <c r="I139" s="79"/>
    </row>
    <row r="140" spans="2:63" x14ac:dyDescent="0.25">
      <c r="B140" s="79"/>
      <c r="C140" s="79"/>
      <c r="D140" s="79"/>
      <c r="E140" s="79"/>
      <c r="F140" s="79"/>
      <c r="G140" s="79"/>
      <c r="H140" s="79"/>
      <c r="I140" s="79"/>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J6" sqref="J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row>
    <row r="2" spans="1:91" ht="18" customHeight="1" x14ac:dyDescent="0.25">
      <c r="A2" s="79"/>
      <c r="B2" s="457" t="s">
        <v>106</v>
      </c>
      <c r="C2" s="458"/>
      <c r="D2" s="458"/>
      <c r="E2" s="458"/>
      <c r="F2" s="458"/>
      <c r="G2" s="458"/>
      <c r="H2" s="458"/>
      <c r="I2" s="458"/>
      <c r="J2" s="399" t="s">
        <v>13</v>
      </c>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row>
    <row r="3" spans="1:91" ht="18.75" customHeight="1" x14ac:dyDescent="0.25">
      <c r="A3" s="79"/>
      <c r="B3" s="458"/>
      <c r="C3" s="458"/>
      <c r="D3" s="458"/>
      <c r="E3" s="458"/>
      <c r="F3" s="458"/>
      <c r="G3" s="458"/>
      <c r="H3" s="458"/>
      <c r="I3" s="458"/>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row>
    <row r="4" spans="1:91" ht="15" customHeight="1" x14ac:dyDescent="0.25">
      <c r="A4" s="79"/>
      <c r="B4" s="458"/>
      <c r="C4" s="458"/>
      <c r="D4" s="458"/>
      <c r="E4" s="458"/>
      <c r="F4" s="458"/>
      <c r="G4" s="458"/>
      <c r="H4" s="458"/>
      <c r="I4" s="458"/>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row>
    <row r="5" spans="1:91" ht="15.75" thickBot="1" x14ac:dyDescent="0.3">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row>
    <row r="6" spans="1:91" ht="15" customHeight="1" x14ac:dyDescent="0.25">
      <c r="A6" s="79"/>
      <c r="B6" s="346" t="s">
        <v>91</v>
      </c>
      <c r="C6" s="346"/>
      <c r="D6" s="347"/>
      <c r="E6" s="441" t="s">
        <v>92</v>
      </c>
      <c r="F6" s="442"/>
      <c r="G6" s="442"/>
      <c r="H6" s="442"/>
      <c r="I6" s="459"/>
      <c r="J6" s="42" t="str">
        <f>IF(AND('Mapa final'!$Y$24="Muy Alta",'Mapa final'!$AA$24="Leve"),CONCATENATE("R1C",'Mapa final'!$O$24),"")</f>
        <v/>
      </c>
      <c r="K6" s="43" t="str">
        <f>IF(AND('Mapa final'!$Y$25="Muy Alta",'Mapa final'!$AA$25="Leve"),CONCATENATE("R1C",'Mapa final'!$O$25),"")</f>
        <v/>
      </c>
      <c r="L6" s="43" t="str">
        <f>IF(AND('Mapa final'!$Y$26="Muy Alta",'Mapa final'!$AA$26="Leve"),CONCATENATE("R1C",'Mapa final'!$O$26),"")</f>
        <v/>
      </c>
      <c r="M6" s="43" t="e">
        <f>IF(AND('Mapa final'!#REF!="Muy Alta",'Mapa final'!#REF!="Leve"),CONCATENATE("R1C",'Mapa final'!#REF!),"")</f>
        <v>#REF!</v>
      </c>
      <c r="N6" s="43" t="e">
        <f>IF(AND('Mapa final'!#REF!="Muy Alta",'Mapa final'!#REF!="Leve"),CONCATENATE("R1C",'Mapa final'!#REF!),"")</f>
        <v>#REF!</v>
      </c>
      <c r="O6" s="44" t="e">
        <f>IF(AND('Mapa final'!#REF!="Muy Alta",'Mapa final'!#REF!="Leve"),CONCATENATE("R1C",'Mapa final'!#REF!),"")</f>
        <v>#REF!</v>
      </c>
      <c r="P6" s="42" t="str">
        <f>IF(AND('Mapa final'!$Y$24="Muy Alta",'Mapa final'!$AA$24="Menor"),CONCATENATE("R1C",'Mapa final'!$O$24),"")</f>
        <v/>
      </c>
      <c r="Q6" s="43" t="str">
        <f>IF(AND('Mapa final'!$Y$25="Muy Alta",'Mapa final'!$AA$25="Menor"),CONCATENATE("R1C",'Mapa final'!$O$25),"")</f>
        <v/>
      </c>
      <c r="R6" s="43" t="str">
        <f>IF(AND('Mapa final'!$Y$26="Muy Alta",'Mapa final'!$AA$26="Menor"),CONCATENATE("R1C",'Mapa final'!$O$26),"")</f>
        <v/>
      </c>
      <c r="S6" s="43" t="e">
        <f>IF(AND('Mapa final'!#REF!="Muy Alta",'Mapa final'!#REF!="Menor"),CONCATENATE("R1C",'Mapa final'!#REF!),"")</f>
        <v>#REF!</v>
      </c>
      <c r="T6" s="43" t="e">
        <f>IF(AND('Mapa final'!#REF!="Muy Alta",'Mapa final'!#REF!="Menor"),CONCATENATE("R1C",'Mapa final'!#REF!),"")</f>
        <v>#REF!</v>
      </c>
      <c r="U6" s="44" t="e">
        <f>IF(AND('Mapa final'!#REF!="Muy Alta",'Mapa final'!#REF!="Menor"),CONCATENATE("R1C",'Mapa final'!#REF!),"")</f>
        <v>#REF!</v>
      </c>
      <c r="V6" s="42" t="str">
        <f>IF(AND('Mapa final'!$Y$24="Muy Alta",'Mapa final'!$AA$24="Moderado"),CONCATENATE("R1C",'Mapa final'!$O$24),"")</f>
        <v/>
      </c>
      <c r="W6" s="43" t="str">
        <f>IF(AND('Mapa final'!$Y$25="Muy Alta",'Mapa final'!$AA$25="Moderado"),CONCATENATE("R1C",'Mapa final'!$O$25),"")</f>
        <v/>
      </c>
      <c r="X6" s="43" t="str">
        <f>IF(AND('Mapa final'!$Y$26="Muy Alta",'Mapa final'!$AA$26="Moderado"),CONCATENATE("R1C",'Mapa final'!$O$26),"")</f>
        <v/>
      </c>
      <c r="Y6" s="43" t="e">
        <f>IF(AND('Mapa final'!#REF!="Muy Alta",'Mapa final'!#REF!="Moderado"),CONCATENATE("R1C",'Mapa final'!#REF!),"")</f>
        <v>#REF!</v>
      </c>
      <c r="Z6" s="43" t="e">
        <f>IF(AND('Mapa final'!#REF!="Muy Alta",'Mapa final'!#REF!="Moderado"),CONCATENATE("R1C",'Mapa final'!#REF!),"")</f>
        <v>#REF!</v>
      </c>
      <c r="AA6" s="44" t="e">
        <f>IF(AND('Mapa final'!#REF!="Muy Alta",'Mapa final'!#REF!="Moderado"),CONCATENATE("R1C",'Mapa final'!#REF!),"")</f>
        <v>#REF!</v>
      </c>
      <c r="AB6" s="42" t="str">
        <f>IF(AND('Mapa final'!$Y$24="Muy Alta",'Mapa final'!$AA$24="Mayor"),CONCATENATE("R1C",'Mapa final'!$O$24),"")</f>
        <v/>
      </c>
      <c r="AC6" s="43" t="str">
        <f>IF(AND('Mapa final'!$Y$25="Muy Alta",'Mapa final'!$AA$25="Mayor"),CONCATENATE("R1C",'Mapa final'!$O$25),"")</f>
        <v/>
      </c>
      <c r="AD6" s="43" t="str">
        <f>IF(AND('Mapa final'!$Y$26="Muy Alta",'Mapa final'!$AA$26="Mayor"),CONCATENATE("R1C",'Mapa final'!$O$26),"")</f>
        <v/>
      </c>
      <c r="AE6" s="43" t="e">
        <f>IF(AND('Mapa final'!#REF!="Muy Alta",'Mapa final'!#REF!="Mayor"),CONCATENATE("R1C",'Mapa final'!#REF!),"")</f>
        <v>#REF!</v>
      </c>
      <c r="AF6" s="43" t="e">
        <f>IF(AND('Mapa final'!#REF!="Muy Alta",'Mapa final'!#REF!="Mayor"),CONCATENATE("R1C",'Mapa final'!#REF!),"")</f>
        <v>#REF!</v>
      </c>
      <c r="AG6" s="44" t="e">
        <f>IF(AND('Mapa final'!#REF!="Muy Alta",'Mapa final'!#REF!="Mayor"),CONCATENATE("R1C",'Mapa final'!#REF!),"")</f>
        <v>#REF!</v>
      </c>
      <c r="AH6" s="45" t="str">
        <f>IF(AND('Mapa final'!$Y$24="Muy Alta",'Mapa final'!$AA$24="Catastrófico"),CONCATENATE("R1C",'Mapa final'!$O$24),"")</f>
        <v/>
      </c>
      <c r="AI6" s="46" t="str">
        <f>IF(AND('Mapa final'!$Y$25="Muy Alta",'Mapa final'!$AA$25="Catastrófico"),CONCATENATE("R1C",'Mapa final'!$O$25),"")</f>
        <v/>
      </c>
      <c r="AJ6" s="46" t="str">
        <f>IF(AND('Mapa final'!$Y$26="Muy Alta",'Mapa final'!$AA$26="Catastrófico"),CONCATENATE("R1C",'Mapa final'!$O$26),"")</f>
        <v/>
      </c>
      <c r="AK6" s="46" t="e">
        <f>IF(AND('Mapa final'!#REF!="Muy Alta",'Mapa final'!#REF!="Catastrófico"),CONCATENATE("R1C",'Mapa final'!#REF!),"")</f>
        <v>#REF!</v>
      </c>
      <c r="AL6" s="46" t="e">
        <f>IF(AND('Mapa final'!#REF!="Muy Alta",'Mapa final'!#REF!="Catastrófico"),CONCATENATE("R1C",'Mapa final'!#REF!),"")</f>
        <v>#REF!</v>
      </c>
      <c r="AM6" s="47" t="e">
        <f>IF(AND('Mapa final'!#REF!="Muy Alta",'Mapa final'!#REF!="Catastrófico"),CONCATENATE("R1C",'Mapa final'!#REF!),"")</f>
        <v>#REF!</v>
      </c>
      <c r="AN6" s="79"/>
      <c r="AO6" s="448" t="s">
        <v>93</v>
      </c>
      <c r="AP6" s="449"/>
      <c r="AQ6" s="449"/>
      <c r="AR6" s="449"/>
      <c r="AS6" s="449"/>
      <c r="AT6" s="450"/>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row>
    <row r="7" spans="1:91" ht="15" customHeight="1" x14ac:dyDescent="0.25">
      <c r="A7" s="79"/>
      <c r="B7" s="346"/>
      <c r="C7" s="346"/>
      <c r="D7" s="347"/>
      <c r="E7" s="445"/>
      <c r="F7" s="444"/>
      <c r="G7" s="444"/>
      <c r="H7" s="444"/>
      <c r="I7" s="460"/>
      <c r="J7" s="48" t="str">
        <f>IF(AND('Mapa final'!$Y$27="Muy Alta",'Mapa final'!$AA$27="Leve"),CONCATENATE("R2C",'Mapa final'!$O$27),"")</f>
        <v/>
      </c>
      <c r="K7" s="49" t="str">
        <f>IF(AND('Mapa final'!$Y$28="Muy Alta",'Mapa final'!$AA$28="Leve"),CONCATENATE("R2C",'Mapa final'!$O$28),"")</f>
        <v/>
      </c>
      <c r="L7" s="49" t="str">
        <f>IF(AND('Mapa final'!$Y$29="Muy Alta",'Mapa final'!$AA$29="Leve"),CONCATENATE("R2C",'Mapa final'!$O$29),"")</f>
        <v/>
      </c>
      <c r="M7" s="49" t="e">
        <f>IF(AND('Mapa final'!#REF!="Muy Alta",'Mapa final'!#REF!="Leve"),CONCATENATE("R2C",'Mapa final'!#REF!),"")</f>
        <v>#REF!</v>
      </c>
      <c r="N7" s="49" t="e">
        <f>IF(AND('Mapa final'!#REF!="Muy Alta",'Mapa final'!#REF!="Leve"),CONCATENATE("R2C",'Mapa final'!#REF!),"")</f>
        <v>#REF!</v>
      </c>
      <c r="O7" s="50" t="e">
        <f>IF(AND('Mapa final'!#REF!="Muy Alta",'Mapa final'!#REF!="Leve"),CONCATENATE("R2C",'Mapa final'!#REF!),"")</f>
        <v>#REF!</v>
      </c>
      <c r="P7" s="48" t="str">
        <f>IF(AND('Mapa final'!$Y$27="Muy Alta",'Mapa final'!$AA$27="Menor"),CONCATENATE("R2C",'Mapa final'!$O$27),"")</f>
        <v/>
      </c>
      <c r="Q7" s="49" t="str">
        <f>IF(AND('Mapa final'!$Y$28="Muy Alta",'Mapa final'!$AA$28="Menor"),CONCATENATE("R2C",'Mapa final'!$O$28),"")</f>
        <v/>
      </c>
      <c r="R7" s="49" t="str">
        <f>IF(AND('Mapa final'!$Y$29="Muy Alta",'Mapa final'!$AA$29="Menor"),CONCATENATE("R2C",'Mapa final'!$O$29),"")</f>
        <v/>
      </c>
      <c r="S7" s="49" t="e">
        <f>IF(AND('Mapa final'!#REF!="Muy Alta",'Mapa final'!#REF!="Menor"),CONCATENATE("R2C",'Mapa final'!#REF!),"")</f>
        <v>#REF!</v>
      </c>
      <c r="T7" s="49" t="e">
        <f>IF(AND('Mapa final'!#REF!="Muy Alta",'Mapa final'!#REF!="Menor"),CONCATENATE("R2C",'Mapa final'!#REF!),"")</f>
        <v>#REF!</v>
      </c>
      <c r="U7" s="50" t="e">
        <f>IF(AND('Mapa final'!#REF!="Muy Alta",'Mapa final'!#REF!="Menor"),CONCATENATE("R2C",'Mapa final'!#REF!),"")</f>
        <v>#REF!</v>
      </c>
      <c r="V7" s="48" t="str">
        <f>IF(AND('Mapa final'!$Y$27="Muy Alta",'Mapa final'!$AA$27="Moderado"),CONCATENATE("R2C",'Mapa final'!$O$27),"")</f>
        <v/>
      </c>
      <c r="W7" s="49" t="str">
        <f>IF(AND('Mapa final'!$Y$28="Muy Alta",'Mapa final'!$AA$28="Moderado"),CONCATENATE("R2C",'Mapa final'!$O$28),"")</f>
        <v/>
      </c>
      <c r="X7" s="49" t="str">
        <f>IF(AND('Mapa final'!$Y$29="Muy Alta",'Mapa final'!$AA$29="Moderado"),CONCATENATE("R2C",'Mapa final'!$O$29),"")</f>
        <v/>
      </c>
      <c r="Y7" s="49" t="e">
        <f>IF(AND('Mapa final'!#REF!="Muy Alta",'Mapa final'!#REF!="Moderado"),CONCATENATE("R2C",'Mapa final'!#REF!),"")</f>
        <v>#REF!</v>
      </c>
      <c r="Z7" s="49" t="e">
        <f>IF(AND('Mapa final'!#REF!="Muy Alta",'Mapa final'!#REF!="Moderado"),CONCATENATE("R2C",'Mapa final'!#REF!),"")</f>
        <v>#REF!</v>
      </c>
      <c r="AA7" s="50" t="e">
        <f>IF(AND('Mapa final'!#REF!="Muy Alta",'Mapa final'!#REF!="Moderado"),CONCATENATE("R2C",'Mapa final'!#REF!),"")</f>
        <v>#REF!</v>
      </c>
      <c r="AB7" s="48" t="str">
        <f>IF(AND('Mapa final'!$Y$27="Muy Alta",'Mapa final'!$AA$27="Mayor"),CONCATENATE("R2C",'Mapa final'!$O$27),"")</f>
        <v/>
      </c>
      <c r="AC7" s="49" t="str">
        <f>IF(AND('Mapa final'!$Y$28="Muy Alta",'Mapa final'!$AA$28="Mayor"),CONCATENATE("R2C",'Mapa final'!$O$28),"")</f>
        <v/>
      </c>
      <c r="AD7" s="49" t="str">
        <f>IF(AND('Mapa final'!$Y$29="Muy Alta",'Mapa final'!$AA$29="Mayor"),CONCATENATE("R2C",'Mapa final'!$O$29),"")</f>
        <v/>
      </c>
      <c r="AE7" s="49" t="e">
        <f>IF(AND('Mapa final'!#REF!="Muy Alta",'Mapa final'!#REF!="Mayor"),CONCATENATE("R2C",'Mapa final'!#REF!),"")</f>
        <v>#REF!</v>
      </c>
      <c r="AF7" s="49" t="e">
        <f>IF(AND('Mapa final'!#REF!="Muy Alta",'Mapa final'!#REF!="Mayor"),CONCATENATE("R2C",'Mapa final'!#REF!),"")</f>
        <v>#REF!</v>
      </c>
      <c r="AG7" s="50" t="e">
        <f>IF(AND('Mapa final'!#REF!="Muy Alta",'Mapa final'!#REF!="Mayor"),CONCATENATE("R2C",'Mapa final'!#REF!),"")</f>
        <v>#REF!</v>
      </c>
      <c r="AH7" s="51" t="str">
        <f>IF(AND('Mapa final'!$Y$27="Muy Alta",'Mapa final'!$AA$27="Catastrófico"),CONCATENATE("R2C",'Mapa final'!$O$27),"")</f>
        <v/>
      </c>
      <c r="AI7" s="52" t="str">
        <f>IF(AND('Mapa final'!$Y$28="Muy Alta",'Mapa final'!$AA$28="Catastrófico"),CONCATENATE("R2C",'Mapa final'!$O$28),"")</f>
        <v/>
      </c>
      <c r="AJ7" s="52" t="str">
        <f>IF(AND('Mapa final'!$Y$29="Muy Alta",'Mapa final'!$AA$29="Catastrófico"),CONCATENATE("R2C",'Mapa final'!$O$29),"")</f>
        <v/>
      </c>
      <c r="AK7" s="52" t="e">
        <f>IF(AND('Mapa final'!#REF!="Muy Alta",'Mapa final'!#REF!="Catastrófico"),CONCATENATE("R2C",'Mapa final'!#REF!),"")</f>
        <v>#REF!</v>
      </c>
      <c r="AL7" s="52" t="e">
        <f>IF(AND('Mapa final'!#REF!="Muy Alta",'Mapa final'!#REF!="Catastrófico"),CONCATENATE("R2C",'Mapa final'!#REF!),"")</f>
        <v>#REF!</v>
      </c>
      <c r="AM7" s="53" t="e">
        <f>IF(AND('Mapa final'!#REF!="Muy Alta",'Mapa final'!#REF!="Catastrófico"),CONCATENATE("R2C",'Mapa final'!#REF!),"")</f>
        <v>#REF!</v>
      </c>
      <c r="AN7" s="79"/>
      <c r="AO7" s="451"/>
      <c r="AP7" s="452"/>
      <c r="AQ7" s="452"/>
      <c r="AR7" s="452"/>
      <c r="AS7" s="452"/>
      <c r="AT7" s="453"/>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row>
    <row r="8" spans="1:91" ht="15" customHeight="1" x14ac:dyDescent="0.25">
      <c r="A8" s="79"/>
      <c r="B8" s="346"/>
      <c r="C8" s="346"/>
      <c r="D8" s="347"/>
      <c r="E8" s="445"/>
      <c r="F8" s="444"/>
      <c r="G8" s="444"/>
      <c r="H8" s="444"/>
      <c r="I8" s="460"/>
      <c r="J8" s="48" t="str">
        <f>IF(AND('Mapa final'!$Y$30="Muy Alta",'Mapa final'!$AA$30="Leve"),CONCATENATE("R3C",'Mapa final'!$O$30),"")</f>
        <v/>
      </c>
      <c r="K8" s="49" t="e">
        <f>IF(AND('Mapa final'!#REF!="Muy Alta",'Mapa final'!#REF!="Leve"),CONCATENATE("R3C",'Mapa final'!#REF!),"")</f>
        <v>#REF!</v>
      </c>
      <c r="L8" s="49" t="e">
        <f>IF(AND('Mapa final'!#REF!="Muy Alta",'Mapa final'!#REF!="Leve"),CONCATENATE("R3C",'Mapa final'!#REF!),"")</f>
        <v>#REF!</v>
      </c>
      <c r="M8" s="49" t="e">
        <f>IF(AND('Mapa final'!#REF!="Muy Alta",'Mapa final'!#REF!="Leve"),CONCATENATE("R3C",'Mapa final'!#REF!),"")</f>
        <v>#REF!</v>
      </c>
      <c r="N8" s="49" t="e">
        <f>IF(AND('Mapa final'!#REF!="Muy Alta",'Mapa final'!#REF!="Leve"),CONCATENATE("R3C",'Mapa final'!#REF!),"")</f>
        <v>#REF!</v>
      </c>
      <c r="O8" s="50" t="e">
        <f>IF(AND('Mapa final'!#REF!="Muy Alta",'Mapa final'!#REF!="Leve"),CONCATENATE("R3C",'Mapa final'!#REF!),"")</f>
        <v>#REF!</v>
      </c>
      <c r="P8" s="48" t="str">
        <f>IF(AND('Mapa final'!$Y$30="Muy Alta",'Mapa final'!$AA$30="Menor"),CONCATENATE("R3C",'Mapa final'!$O$30),"")</f>
        <v/>
      </c>
      <c r="Q8" s="49" t="e">
        <f>IF(AND('Mapa final'!#REF!="Muy Alta",'Mapa final'!#REF!="Menor"),CONCATENATE("R3C",'Mapa final'!#REF!),"")</f>
        <v>#REF!</v>
      </c>
      <c r="R8" s="49" t="e">
        <f>IF(AND('Mapa final'!#REF!="Muy Alta",'Mapa final'!#REF!="Menor"),CONCATENATE("R3C",'Mapa final'!#REF!),"")</f>
        <v>#REF!</v>
      </c>
      <c r="S8" s="49" t="e">
        <f>IF(AND('Mapa final'!#REF!="Muy Alta",'Mapa final'!#REF!="Menor"),CONCATENATE("R3C",'Mapa final'!#REF!),"")</f>
        <v>#REF!</v>
      </c>
      <c r="T8" s="49" t="e">
        <f>IF(AND('Mapa final'!#REF!="Muy Alta",'Mapa final'!#REF!="Menor"),CONCATENATE("R3C",'Mapa final'!#REF!),"")</f>
        <v>#REF!</v>
      </c>
      <c r="U8" s="50" t="e">
        <f>IF(AND('Mapa final'!#REF!="Muy Alta",'Mapa final'!#REF!="Menor"),CONCATENATE("R3C",'Mapa final'!#REF!),"")</f>
        <v>#REF!</v>
      </c>
      <c r="V8" s="48" t="str">
        <f>IF(AND('Mapa final'!$Y$30="Muy Alta",'Mapa final'!$AA$30="Moderado"),CONCATENATE("R3C",'Mapa final'!$O$30),"")</f>
        <v/>
      </c>
      <c r="W8" s="49" t="e">
        <f>IF(AND('Mapa final'!#REF!="Muy Alta",'Mapa final'!#REF!="Moderado"),CONCATENATE("R3C",'Mapa final'!#REF!),"")</f>
        <v>#REF!</v>
      </c>
      <c r="X8" s="49" t="e">
        <f>IF(AND('Mapa final'!#REF!="Muy Alta",'Mapa final'!#REF!="Moderado"),CONCATENATE("R3C",'Mapa final'!#REF!),"")</f>
        <v>#REF!</v>
      </c>
      <c r="Y8" s="49" t="e">
        <f>IF(AND('Mapa final'!#REF!="Muy Alta",'Mapa final'!#REF!="Moderado"),CONCATENATE("R3C",'Mapa final'!#REF!),"")</f>
        <v>#REF!</v>
      </c>
      <c r="Z8" s="49" t="e">
        <f>IF(AND('Mapa final'!#REF!="Muy Alta",'Mapa final'!#REF!="Moderado"),CONCATENATE("R3C",'Mapa final'!#REF!),"")</f>
        <v>#REF!</v>
      </c>
      <c r="AA8" s="50" t="e">
        <f>IF(AND('Mapa final'!#REF!="Muy Alta",'Mapa final'!#REF!="Moderado"),CONCATENATE("R3C",'Mapa final'!#REF!),"")</f>
        <v>#REF!</v>
      </c>
      <c r="AB8" s="48" t="str">
        <f>IF(AND('Mapa final'!$Y$30="Muy Alta",'Mapa final'!$AA$30="Mayor"),CONCATENATE("R3C",'Mapa final'!$O$30),"")</f>
        <v/>
      </c>
      <c r="AC8" s="49" t="e">
        <f>IF(AND('Mapa final'!#REF!="Muy Alta",'Mapa final'!#REF!="Mayor"),CONCATENATE("R3C",'Mapa final'!#REF!),"")</f>
        <v>#REF!</v>
      </c>
      <c r="AD8" s="49" t="e">
        <f>IF(AND('Mapa final'!#REF!="Muy Alta",'Mapa final'!#REF!="Mayor"),CONCATENATE("R3C",'Mapa final'!#REF!),"")</f>
        <v>#REF!</v>
      </c>
      <c r="AE8" s="49" t="e">
        <f>IF(AND('Mapa final'!#REF!="Muy Alta",'Mapa final'!#REF!="Mayor"),CONCATENATE("R3C",'Mapa final'!#REF!),"")</f>
        <v>#REF!</v>
      </c>
      <c r="AF8" s="49" t="e">
        <f>IF(AND('Mapa final'!#REF!="Muy Alta",'Mapa final'!#REF!="Mayor"),CONCATENATE("R3C",'Mapa final'!#REF!),"")</f>
        <v>#REF!</v>
      </c>
      <c r="AG8" s="50" t="e">
        <f>IF(AND('Mapa final'!#REF!="Muy Alta",'Mapa final'!#REF!="Mayor"),CONCATENATE("R3C",'Mapa final'!#REF!),"")</f>
        <v>#REF!</v>
      </c>
      <c r="AH8" s="51" t="str">
        <f>IF(AND('Mapa final'!$Y$30="Muy Alta",'Mapa final'!$AA$30="Catastrófico"),CONCATENATE("R3C",'Mapa final'!$O$30),"")</f>
        <v/>
      </c>
      <c r="AI8" s="52" t="e">
        <f>IF(AND('Mapa final'!#REF!="Muy Alta",'Mapa final'!#REF!="Catastrófico"),CONCATENATE("R3C",'Mapa final'!#REF!),"")</f>
        <v>#REF!</v>
      </c>
      <c r="AJ8" s="52" t="e">
        <f>IF(AND('Mapa final'!#REF!="Muy Alta",'Mapa final'!#REF!="Catastrófico"),CONCATENATE("R3C",'Mapa final'!#REF!),"")</f>
        <v>#REF!</v>
      </c>
      <c r="AK8" s="52" t="e">
        <f>IF(AND('Mapa final'!#REF!="Muy Alta",'Mapa final'!#REF!="Catastrófico"),CONCATENATE("R3C",'Mapa final'!#REF!),"")</f>
        <v>#REF!</v>
      </c>
      <c r="AL8" s="52" t="e">
        <f>IF(AND('Mapa final'!#REF!="Muy Alta",'Mapa final'!#REF!="Catastrófico"),CONCATENATE("R3C",'Mapa final'!#REF!),"")</f>
        <v>#REF!</v>
      </c>
      <c r="AM8" s="53" t="e">
        <f>IF(AND('Mapa final'!#REF!="Muy Alta",'Mapa final'!#REF!="Catastrófico"),CONCATENATE("R3C",'Mapa final'!#REF!),"")</f>
        <v>#REF!</v>
      </c>
      <c r="AN8" s="79"/>
      <c r="AO8" s="451"/>
      <c r="AP8" s="452"/>
      <c r="AQ8" s="452"/>
      <c r="AR8" s="452"/>
      <c r="AS8" s="452"/>
      <c r="AT8" s="453"/>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row>
    <row r="9" spans="1:91" ht="15" customHeight="1" x14ac:dyDescent="0.25">
      <c r="A9" s="79"/>
      <c r="B9" s="346"/>
      <c r="C9" s="346"/>
      <c r="D9" s="347"/>
      <c r="E9" s="445"/>
      <c r="F9" s="444"/>
      <c r="G9" s="444"/>
      <c r="H9" s="444"/>
      <c r="I9" s="460"/>
      <c r="J9" s="48" t="str">
        <f>IF(AND('Mapa final'!$Y$31="Muy Alta",'Mapa final'!$AA$31="Leve"),CONCATENATE("R4C",'Mapa final'!$O$31),"")</f>
        <v/>
      </c>
      <c r="K9" s="49" t="str">
        <f>IF(AND('Mapa final'!$Y$32="Muy Alta",'Mapa final'!$AA$32="Leve"),CONCATENATE("R4C",'Mapa final'!$O$32),"")</f>
        <v/>
      </c>
      <c r="L9" s="49" t="e">
        <f>IF(AND('Mapa final'!#REF!="Muy Alta",'Mapa final'!#REF!="Leve"),CONCATENATE("R4C",'Mapa final'!#REF!),"")</f>
        <v>#REF!</v>
      </c>
      <c r="M9" s="49" t="e">
        <f>IF(AND('Mapa final'!#REF!="Muy Alta",'Mapa final'!#REF!="Leve"),CONCATENATE("R4C",'Mapa final'!#REF!),"")</f>
        <v>#REF!</v>
      </c>
      <c r="N9" s="49" t="e">
        <f>IF(AND('Mapa final'!#REF!="Muy Alta",'Mapa final'!#REF!="Leve"),CONCATENATE("R4C",'Mapa final'!#REF!),"")</f>
        <v>#REF!</v>
      </c>
      <c r="O9" s="50" t="e">
        <f>IF(AND('Mapa final'!#REF!="Muy Alta",'Mapa final'!#REF!="Leve"),CONCATENATE("R4C",'Mapa final'!#REF!),"")</f>
        <v>#REF!</v>
      </c>
      <c r="P9" s="48" t="str">
        <f>IF(AND('Mapa final'!$Y$31="Muy Alta",'Mapa final'!$AA$31="Menor"),CONCATENATE("R4C",'Mapa final'!$O$31),"")</f>
        <v/>
      </c>
      <c r="Q9" s="49" t="str">
        <f>IF(AND('Mapa final'!$Y$32="Muy Alta",'Mapa final'!$AA$32="Menor"),CONCATENATE("R4C",'Mapa final'!$O$32),"")</f>
        <v/>
      </c>
      <c r="R9" s="49" t="e">
        <f>IF(AND('Mapa final'!#REF!="Muy Alta",'Mapa final'!#REF!="Menor"),CONCATENATE("R4C",'Mapa final'!#REF!),"")</f>
        <v>#REF!</v>
      </c>
      <c r="S9" s="49" t="e">
        <f>IF(AND('Mapa final'!#REF!="Muy Alta",'Mapa final'!#REF!="Menor"),CONCATENATE("R4C",'Mapa final'!#REF!),"")</f>
        <v>#REF!</v>
      </c>
      <c r="T9" s="49" t="e">
        <f>IF(AND('Mapa final'!#REF!="Muy Alta",'Mapa final'!#REF!="Menor"),CONCATENATE("R4C",'Mapa final'!#REF!),"")</f>
        <v>#REF!</v>
      </c>
      <c r="U9" s="50" t="e">
        <f>IF(AND('Mapa final'!#REF!="Muy Alta",'Mapa final'!#REF!="Menor"),CONCATENATE("R4C",'Mapa final'!#REF!),"")</f>
        <v>#REF!</v>
      </c>
      <c r="V9" s="48" t="str">
        <f>IF(AND('Mapa final'!$Y$31="Muy Alta",'Mapa final'!$AA$31="Moderado"),CONCATENATE("R4C",'Mapa final'!$O$31),"")</f>
        <v/>
      </c>
      <c r="W9" s="49" t="str">
        <f>IF(AND('Mapa final'!$Y$32="Muy Alta",'Mapa final'!$AA$32="Moderado"),CONCATENATE("R4C",'Mapa final'!$O$32),"")</f>
        <v/>
      </c>
      <c r="X9" s="49" t="e">
        <f>IF(AND('Mapa final'!#REF!="Muy Alta",'Mapa final'!#REF!="Moderado"),CONCATENATE("R4C",'Mapa final'!#REF!),"")</f>
        <v>#REF!</v>
      </c>
      <c r="Y9" s="49" t="e">
        <f>IF(AND('Mapa final'!#REF!="Muy Alta",'Mapa final'!#REF!="Moderado"),CONCATENATE("R4C",'Mapa final'!#REF!),"")</f>
        <v>#REF!</v>
      </c>
      <c r="Z9" s="49" t="e">
        <f>IF(AND('Mapa final'!#REF!="Muy Alta",'Mapa final'!#REF!="Moderado"),CONCATENATE("R4C",'Mapa final'!#REF!),"")</f>
        <v>#REF!</v>
      </c>
      <c r="AA9" s="50" t="e">
        <f>IF(AND('Mapa final'!#REF!="Muy Alta",'Mapa final'!#REF!="Moderado"),CONCATENATE("R4C",'Mapa final'!#REF!),"")</f>
        <v>#REF!</v>
      </c>
      <c r="AB9" s="48" t="str">
        <f>IF(AND('Mapa final'!$Y$31="Muy Alta",'Mapa final'!$AA$31="Mayor"),CONCATENATE("R4C",'Mapa final'!$O$31),"")</f>
        <v/>
      </c>
      <c r="AC9" s="49" t="str">
        <f>IF(AND('Mapa final'!$Y$32="Muy Alta",'Mapa final'!$AA$32="Mayor"),CONCATENATE("R4C",'Mapa final'!$O$32),"")</f>
        <v/>
      </c>
      <c r="AD9" s="49" t="e">
        <f>IF(AND('Mapa final'!#REF!="Muy Alta",'Mapa final'!#REF!="Mayor"),CONCATENATE("R4C",'Mapa final'!#REF!),"")</f>
        <v>#REF!</v>
      </c>
      <c r="AE9" s="49" t="e">
        <f>IF(AND('Mapa final'!#REF!="Muy Alta",'Mapa final'!#REF!="Mayor"),CONCATENATE("R4C",'Mapa final'!#REF!),"")</f>
        <v>#REF!</v>
      </c>
      <c r="AF9" s="49" t="e">
        <f>IF(AND('Mapa final'!#REF!="Muy Alta",'Mapa final'!#REF!="Mayor"),CONCATENATE("R4C",'Mapa final'!#REF!),"")</f>
        <v>#REF!</v>
      </c>
      <c r="AG9" s="50" t="e">
        <f>IF(AND('Mapa final'!#REF!="Muy Alta",'Mapa final'!#REF!="Mayor"),CONCATENATE("R4C",'Mapa final'!#REF!),"")</f>
        <v>#REF!</v>
      </c>
      <c r="AH9" s="51" t="str">
        <f>IF(AND('Mapa final'!$Y$31="Muy Alta",'Mapa final'!$AA$31="Catastrófico"),CONCATENATE("R4C",'Mapa final'!$O$31),"")</f>
        <v/>
      </c>
      <c r="AI9" s="52" t="str">
        <f>IF(AND('Mapa final'!$Y$32="Muy Alta",'Mapa final'!$AA$32="Catastrófico"),CONCATENATE("R4C",'Mapa final'!$O$32),"")</f>
        <v/>
      </c>
      <c r="AJ9" s="52" t="e">
        <f>IF(AND('Mapa final'!#REF!="Muy Alta",'Mapa final'!#REF!="Catastrófico"),CONCATENATE("R4C",'Mapa final'!#REF!),"")</f>
        <v>#REF!</v>
      </c>
      <c r="AK9" s="52" t="e">
        <f>IF(AND('Mapa final'!#REF!="Muy Alta",'Mapa final'!#REF!="Catastrófico"),CONCATENATE("R4C",'Mapa final'!#REF!),"")</f>
        <v>#REF!</v>
      </c>
      <c r="AL9" s="52" t="e">
        <f>IF(AND('Mapa final'!#REF!="Muy Alta",'Mapa final'!#REF!="Catastrófico"),CONCATENATE("R4C",'Mapa final'!#REF!),"")</f>
        <v>#REF!</v>
      </c>
      <c r="AM9" s="53" t="e">
        <f>IF(AND('Mapa final'!#REF!="Muy Alta",'Mapa final'!#REF!="Catastrófico"),CONCATENATE("R4C",'Mapa final'!#REF!),"")</f>
        <v>#REF!</v>
      </c>
      <c r="AN9" s="79"/>
      <c r="AO9" s="451"/>
      <c r="AP9" s="452"/>
      <c r="AQ9" s="452"/>
      <c r="AR9" s="452"/>
      <c r="AS9" s="452"/>
      <c r="AT9" s="453"/>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row>
    <row r="10" spans="1:91" ht="15" customHeight="1" x14ac:dyDescent="0.25">
      <c r="A10" s="79"/>
      <c r="B10" s="346"/>
      <c r="C10" s="346"/>
      <c r="D10" s="347"/>
      <c r="E10" s="445"/>
      <c r="F10" s="444"/>
      <c r="G10" s="444"/>
      <c r="H10" s="444"/>
      <c r="I10" s="460"/>
      <c r="J10" s="48" t="str">
        <f>IF(AND('Mapa final'!$Y$33="Muy Alta",'Mapa final'!$AA$33="Leve"),CONCATENATE("R5C",'Mapa final'!$O$33),"")</f>
        <v/>
      </c>
      <c r="K10" s="49" t="str">
        <f>IF(AND('Mapa final'!$Y$34="Muy Alta",'Mapa final'!$AA$34="Leve"),CONCATENATE("R5C",'Mapa final'!$O$34),"")</f>
        <v/>
      </c>
      <c r="L10" s="49" t="e">
        <f>IF(AND('Mapa final'!#REF!="Muy Alta",'Mapa final'!#REF!="Leve"),CONCATENATE("R5C",'Mapa final'!#REF!),"")</f>
        <v>#REF!</v>
      </c>
      <c r="M10" s="49" t="e">
        <f>IF(AND('Mapa final'!#REF!="Muy Alta",'Mapa final'!#REF!="Leve"),CONCATENATE("R5C",'Mapa final'!#REF!),"")</f>
        <v>#REF!</v>
      </c>
      <c r="N10" s="49" t="e">
        <f>IF(AND('Mapa final'!#REF!="Muy Alta",'Mapa final'!#REF!="Leve"),CONCATENATE("R5C",'Mapa final'!#REF!),"")</f>
        <v>#REF!</v>
      </c>
      <c r="O10" s="50" t="e">
        <f>IF(AND('Mapa final'!#REF!="Muy Alta",'Mapa final'!#REF!="Leve"),CONCATENATE("R5C",'Mapa final'!#REF!),"")</f>
        <v>#REF!</v>
      </c>
      <c r="P10" s="48" t="str">
        <f>IF(AND('Mapa final'!$Y$33="Muy Alta",'Mapa final'!$AA$33="Menor"),CONCATENATE("R5C",'Mapa final'!$O$33),"")</f>
        <v/>
      </c>
      <c r="Q10" s="49" t="str">
        <f>IF(AND('Mapa final'!$Y$34="Muy Alta",'Mapa final'!$AA$34="Menor"),CONCATENATE("R5C",'Mapa final'!$O$34),"")</f>
        <v/>
      </c>
      <c r="R10" s="49" t="e">
        <f>IF(AND('Mapa final'!#REF!="Muy Alta",'Mapa final'!#REF!="Menor"),CONCATENATE("R5C",'Mapa final'!#REF!),"")</f>
        <v>#REF!</v>
      </c>
      <c r="S10" s="49" t="e">
        <f>IF(AND('Mapa final'!#REF!="Muy Alta",'Mapa final'!#REF!="Menor"),CONCATENATE("R5C",'Mapa final'!#REF!),"")</f>
        <v>#REF!</v>
      </c>
      <c r="T10" s="49" t="e">
        <f>IF(AND('Mapa final'!#REF!="Muy Alta",'Mapa final'!#REF!="Menor"),CONCATENATE("R5C",'Mapa final'!#REF!),"")</f>
        <v>#REF!</v>
      </c>
      <c r="U10" s="50" t="e">
        <f>IF(AND('Mapa final'!#REF!="Muy Alta",'Mapa final'!#REF!="Menor"),CONCATENATE("R5C",'Mapa final'!#REF!),"")</f>
        <v>#REF!</v>
      </c>
      <c r="V10" s="48" t="str">
        <f>IF(AND('Mapa final'!$Y$33="Muy Alta",'Mapa final'!$AA$33="Moderado"),CONCATENATE("R5C",'Mapa final'!$O$33),"")</f>
        <v/>
      </c>
      <c r="W10" s="49" t="str">
        <f>IF(AND('Mapa final'!$Y$34="Muy Alta",'Mapa final'!$AA$34="Moderado"),CONCATENATE("R5C",'Mapa final'!$O$34),"")</f>
        <v/>
      </c>
      <c r="X10" s="49" t="e">
        <f>IF(AND('Mapa final'!#REF!="Muy Alta",'Mapa final'!#REF!="Moderado"),CONCATENATE("R5C",'Mapa final'!#REF!),"")</f>
        <v>#REF!</v>
      </c>
      <c r="Y10" s="49" t="e">
        <f>IF(AND('Mapa final'!#REF!="Muy Alta",'Mapa final'!#REF!="Moderado"),CONCATENATE("R5C",'Mapa final'!#REF!),"")</f>
        <v>#REF!</v>
      </c>
      <c r="Z10" s="49" t="e">
        <f>IF(AND('Mapa final'!#REF!="Muy Alta",'Mapa final'!#REF!="Moderado"),CONCATENATE("R5C",'Mapa final'!#REF!),"")</f>
        <v>#REF!</v>
      </c>
      <c r="AA10" s="50" t="e">
        <f>IF(AND('Mapa final'!#REF!="Muy Alta",'Mapa final'!#REF!="Moderado"),CONCATENATE("R5C",'Mapa final'!#REF!),"")</f>
        <v>#REF!</v>
      </c>
      <c r="AB10" s="48" t="str">
        <f>IF(AND('Mapa final'!$Y$33="Muy Alta",'Mapa final'!$AA$33="Mayor"),CONCATENATE("R5C",'Mapa final'!$O$33),"")</f>
        <v/>
      </c>
      <c r="AC10" s="49" t="str">
        <f>IF(AND('Mapa final'!$Y$34="Muy Alta",'Mapa final'!$AA$34="Mayor"),CONCATENATE("R5C",'Mapa final'!$O$34),"")</f>
        <v/>
      </c>
      <c r="AD10" s="49" t="e">
        <f>IF(AND('Mapa final'!#REF!="Muy Alta",'Mapa final'!#REF!="Mayor"),CONCATENATE("R5C",'Mapa final'!#REF!),"")</f>
        <v>#REF!</v>
      </c>
      <c r="AE10" s="49" t="e">
        <f>IF(AND('Mapa final'!#REF!="Muy Alta",'Mapa final'!#REF!="Mayor"),CONCATENATE("R5C",'Mapa final'!#REF!),"")</f>
        <v>#REF!</v>
      </c>
      <c r="AF10" s="49" t="e">
        <f>IF(AND('Mapa final'!#REF!="Muy Alta",'Mapa final'!#REF!="Mayor"),CONCATENATE("R5C",'Mapa final'!#REF!),"")</f>
        <v>#REF!</v>
      </c>
      <c r="AG10" s="50" t="e">
        <f>IF(AND('Mapa final'!#REF!="Muy Alta",'Mapa final'!#REF!="Mayor"),CONCATENATE("R5C",'Mapa final'!#REF!),"")</f>
        <v>#REF!</v>
      </c>
      <c r="AH10" s="51" t="str">
        <f>IF(AND('Mapa final'!$Y$33="Muy Alta",'Mapa final'!$AA$33="Catastrófico"),CONCATENATE("R5C",'Mapa final'!$O$33),"")</f>
        <v/>
      </c>
      <c r="AI10" s="52" t="str">
        <f>IF(AND('Mapa final'!$Y$34="Muy Alta",'Mapa final'!$AA$34="Catastrófico"),CONCATENATE("R5C",'Mapa final'!$O$34),"")</f>
        <v/>
      </c>
      <c r="AJ10" s="52" t="e">
        <f>IF(AND('Mapa final'!#REF!="Muy Alta",'Mapa final'!#REF!="Catastrófico"),CONCATENATE("R5C",'Mapa final'!#REF!),"")</f>
        <v>#REF!</v>
      </c>
      <c r="AK10" s="52" t="e">
        <f>IF(AND('Mapa final'!#REF!="Muy Alta",'Mapa final'!#REF!="Catastrófico"),CONCATENATE("R5C",'Mapa final'!#REF!),"")</f>
        <v>#REF!</v>
      </c>
      <c r="AL10" s="52" t="e">
        <f>IF(AND('Mapa final'!#REF!="Muy Alta",'Mapa final'!#REF!="Catastrófico"),CONCATENATE("R5C",'Mapa final'!#REF!),"")</f>
        <v>#REF!</v>
      </c>
      <c r="AM10" s="53" t="e">
        <f>IF(AND('Mapa final'!#REF!="Muy Alta",'Mapa final'!#REF!="Catastrófico"),CONCATENATE("R5C",'Mapa final'!#REF!),"")</f>
        <v>#REF!</v>
      </c>
      <c r="AN10" s="79"/>
      <c r="AO10" s="451"/>
      <c r="AP10" s="452"/>
      <c r="AQ10" s="452"/>
      <c r="AR10" s="452"/>
      <c r="AS10" s="452"/>
      <c r="AT10" s="453"/>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row>
    <row r="11" spans="1:91" ht="15" customHeight="1" x14ac:dyDescent="0.25">
      <c r="A11" s="79"/>
      <c r="B11" s="346"/>
      <c r="C11" s="346"/>
      <c r="D11" s="347"/>
      <c r="E11" s="445"/>
      <c r="F11" s="444"/>
      <c r="G11" s="444"/>
      <c r="H11" s="444"/>
      <c r="I11" s="460"/>
      <c r="J11" s="48" t="str">
        <f>IF(AND('Mapa final'!$Y$35="Muy Alta",'Mapa final'!$AA$35="Leve"),CONCATENATE("R6C",'Mapa final'!$O$35),"")</f>
        <v/>
      </c>
      <c r="K11" s="49" t="e">
        <f>IF(AND('Mapa final'!#REF!="Muy Alta",'Mapa final'!#REF!="Leve"),CONCATENATE("R6C",'Mapa final'!#REF!),"")</f>
        <v>#REF!</v>
      </c>
      <c r="L11" s="49" t="e">
        <f>IF(AND('Mapa final'!#REF!="Muy Alta",'Mapa final'!#REF!="Leve"),CONCATENATE("R6C",'Mapa final'!#REF!),"")</f>
        <v>#REF!</v>
      </c>
      <c r="M11" s="49" t="e">
        <f>IF(AND('Mapa final'!#REF!="Muy Alta",'Mapa final'!#REF!="Leve"),CONCATENATE("R6C",'Mapa final'!#REF!),"")</f>
        <v>#REF!</v>
      </c>
      <c r="N11" s="49" t="e">
        <f>IF(AND('Mapa final'!#REF!="Muy Alta",'Mapa final'!#REF!="Leve"),CONCATENATE("R6C",'Mapa final'!#REF!),"")</f>
        <v>#REF!</v>
      </c>
      <c r="O11" s="50" t="e">
        <f>IF(AND('Mapa final'!#REF!="Muy Alta",'Mapa final'!#REF!="Leve"),CONCATENATE("R6C",'Mapa final'!#REF!),"")</f>
        <v>#REF!</v>
      </c>
      <c r="P11" s="48" t="str">
        <f>IF(AND('Mapa final'!$Y$35="Muy Alta",'Mapa final'!$AA$35="Menor"),CONCATENATE("R6C",'Mapa final'!$O$35),"")</f>
        <v/>
      </c>
      <c r="Q11" s="49" t="e">
        <f>IF(AND('Mapa final'!#REF!="Muy Alta",'Mapa final'!#REF!="Menor"),CONCATENATE("R6C",'Mapa final'!#REF!),"")</f>
        <v>#REF!</v>
      </c>
      <c r="R11" s="49" t="e">
        <f>IF(AND('Mapa final'!#REF!="Muy Alta",'Mapa final'!#REF!="Menor"),CONCATENATE("R6C",'Mapa final'!#REF!),"")</f>
        <v>#REF!</v>
      </c>
      <c r="S11" s="49" t="e">
        <f>IF(AND('Mapa final'!#REF!="Muy Alta",'Mapa final'!#REF!="Menor"),CONCATENATE("R6C",'Mapa final'!#REF!),"")</f>
        <v>#REF!</v>
      </c>
      <c r="T11" s="49" t="e">
        <f>IF(AND('Mapa final'!#REF!="Muy Alta",'Mapa final'!#REF!="Menor"),CONCATENATE("R6C",'Mapa final'!#REF!),"")</f>
        <v>#REF!</v>
      </c>
      <c r="U11" s="50" t="e">
        <f>IF(AND('Mapa final'!#REF!="Muy Alta",'Mapa final'!#REF!="Menor"),CONCATENATE("R6C",'Mapa final'!#REF!),"")</f>
        <v>#REF!</v>
      </c>
      <c r="V11" s="48" t="str">
        <f>IF(AND('Mapa final'!$Y$35="Muy Alta",'Mapa final'!$AA$35="Moderado"),CONCATENATE("R6C",'Mapa final'!$O$35),"")</f>
        <v/>
      </c>
      <c r="W11" s="49" t="e">
        <f>IF(AND('Mapa final'!#REF!="Muy Alta",'Mapa final'!#REF!="Moderado"),CONCATENATE("R6C",'Mapa final'!#REF!),"")</f>
        <v>#REF!</v>
      </c>
      <c r="X11" s="49" t="e">
        <f>IF(AND('Mapa final'!#REF!="Muy Alta",'Mapa final'!#REF!="Moderado"),CONCATENATE("R6C",'Mapa final'!#REF!),"")</f>
        <v>#REF!</v>
      </c>
      <c r="Y11" s="49" t="e">
        <f>IF(AND('Mapa final'!#REF!="Muy Alta",'Mapa final'!#REF!="Moderado"),CONCATENATE("R6C",'Mapa final'!#REF!),"")</f>
        <v>#REF!</v>
      </c>
      <c r="Z11" s="49" t="e">
        <f>IF(AND('Mapa final'!#REF!="Muy Alta",'Mapa final'!#REF!="Moderado"),CONCATENATE("R6C",'Mapa final'!#REF!),"")</f>
        <v>#REF!</v>
      </c>
      <c r="AA11" s="50" t="e">
        <f>IF(AND('Mapa final'!#REF!="Muy Alta",'Mapa final'!#REF!="Moderado"),CONCATENATE("R6C",'Mapa final'!#REF!),"")</f>
        <v>#REF!</v>
      </c>
      <c r="AB11" s="48" t="str">
        <f>IF(AND('Mapa final'!$Y$35="Muy Alta",'Mapa final'!$AA$35="Mayor"),CONCATENATE("R6C",'Mapa final'!$O$35),"")</f>
        <v/>
      </c>
      <c r="AC11" s="49" t="e">
        <f>IF(AND('Mapa final'!#REF!="Muy Alta",'Mapa final'!#REF!="Mayor"),CONCATENATE("R6C",'Mapa final'!#REF!),"")</f>
        <v>#REF!</v>
      </c>
      <c r="AD11" s="49" t="e">
        <f>IF(AND('Mapa final'!#REF!="Muy Alta",'Mapa final'!#REF!="Mayor"),CONCATENATE("R6C",'Mapa final'!#REF!),"")</f>
        <v>#REF!</v>
      </c>
      <c r="AE11" s="49" t="e">
        <f>IF(AND('Mapa final'!#REF!="Muy Alta",'Mapa final'!#REF!="Mayor"),CONCATENATE("R6C",'Mapa final'!#REF!),"")</f>
        <v>#REF!</v>
      </c>
      <c r="AF11" s="49" t="e">
        <f>IF(AND('Mapa final'!#REF!="Muy Alta",'Mapa final'!#REF!="Mayor"),CONCATENATE("R6C",'Mapa final'!#REF!),"")</f>
        <v>#REF!</v>
      </c>
      <c r="AG11" s="50" t="e">
        <f>IF(AND('Mapa final'!#REF!="Muy Alta",'Mapa final'!#REF!="Mayor"),CONCATENATE("R6C",'Mapa final'!#REF!),"")</f>
        <v>#REF!</v>
      </c>
      <c r="AH11" s="51" t="str">
        <f>IF(AND('Mapa final'!$Y$35="Muy Alta",'Mapa final'!$AA$35="Catastrófico"),CONCATENATE("R6C",'Mapa final'!$O$35),"")</f>
        <v/>
      </c>
      <c r="AI11" s="52" t="e">
        <f>IF(AND('Mapa final'!#REF!="Muy Alta",'Mapa final'!#REF!="Catastrófico"),CONCATENATE("R6C",'Mapa final'!#REF!),"")</f>
        <v>#REF!</v>
      </c>
      <c r="AJ11" s="52" t="e">
        <f>IF(AND('Mapa final'!#REF!="Muy Alta",'Mapa final'!#REF!="Catastrófico"),CONCATENATE("R6C",'Mapa final'!#REF!),"")</f>
        <v>#REF!</v>
      </c>
      <c r="AK11" s="52" t="e">
        <f>IF(AND('Mapa final'!#REF!="Muy Alta",'Mapa final'!#REF!="Catastrófico"),CONCATENATE("R6C",'Mapa final'!#REF!),"")</f>
        <v>#REF!</v>
      </c>
      <c r="AL11" s="52" t="e">
        <f>IF(AND('Mapa final'!#REF!="Muy Alta",'Mapa final'!#REF!="Catastrófico"),CONCATENATE("R6C",'Mapa final'!#REF!),"")</f>
        <v>#REF!</v>
      </c>
      <c r="AM11" s="53" t="e">
        <f>IF(AND('Mapa final'!#REF!="Muy Alta",'Mapa final'!#REF!="Catastrófico"),CONCATENATE("R6C",'Mapa final'!#REF!),"")</f>
        <v>#REF!</v>
      </c>
      <c r="AN11" s="79"/>
      <c r="AO11" s="451"/>
      <c r="AP11" s="452"/>
      <c r="AQ11" s="452"/>
      <c r="AR11" s="452"/>
      <c r="AS11" s="452"/>
      <c r="AT11" s="453"/>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row>
    <row r="12" spans="1:91" ht="15" customHeight="1" x14ac:dyDescent="0.25">
      <c r="A12" s="79"/>
      <c r="B12" s="346"/>
      <c r="C12" s="346"/>
      <c r="D12" s="347"/>
      <c r="E12" s="445"/>
      <c r="F12" s="444"/>
      <c r="G12" s="444"/>
      <c r="H12" s="444"/>
      <c r="I12" s="460"/>
      <c r="J12" s="48" t="str">
        <f>IF(AND('Mapa final'!$Y$41="Muy Alta",'Mapa final'!$AA$41="Leve"),CONCATENATE("R7C",'Mapa final'!$O$41),"")</f>
        <v/>
      </c>
      <c r="K12" s="49" t="str">
        <f>IF(AND('Mapa final'!$Y$42="Muy Alta",'Mapa final'!$AA$42="Leve"),CONCATENATE("R7C",'Mapa final'!$O$42),"")</f>
        <v/>
      </c>
      <c r="L12" s="49" t="e">
        <f>IF(AND('Mapa final'!#REF!="Muy Alta",'Mapa final'!#REF!="Leve"),CONCATENATE("R7C",'Mapa final'!#REF!),"")</f>
        <v>#REF!</v>
      </c>
      <c r="M12" s="49" t="e">
        <f>IF(AND('Mapa final'!#REF!="Muy Alta",'Mapa final'!#REF!="Leve"),CONCATENATE("R7C",'Mapa final'!#REF!),"")</f>
        <v>#REF!</v>
      </c>
      <c r="N12" s="49" t="e">
        <f>IF(AND('Mapa final'!#REF!="Muy Alta",'Mapa final'!#REF!="Leve"),CONCATENATE("R7C",'Mapa final'!#REF!),"")</f>
        <v>#REF!</v>
      </c>
      <c r="O12" s="50" t="e">
        <f>IF(AND('Mapa final'!#REF!="Muy Alta",'Mapa final'!#REF!="Leve"),CONCATENATE("R7C",'Mapa final'!#REF!),"")</f>
        <v>#REF!</v>
      </c>
      <c r="P12" s="48" t="str">
        <f>IF(AND('Mapa final'!$Y$41="Muy Alta",'Mapa final'!$AA$41="Menor"),CONCATENATE("R7C",'Mapa final'!$O$41),"")</f>
        <v/>
      </c>
      <c r="Q12" s="49" t="str">
        <f>IF(AND('Mapa final'!$Y$42="Muy Alta",'Mapa final'!$AA$42="Menor"),CONCATENATE("R7C",'Mapa final'!$O$42),"")</f>
        <v/>
      </c>
      <c r="R12" s="49" t="e">
        <f>IF(AND('Mapa final'!#REF!="Muy Alta",'Mapa final'!#REF!="Menor"),CONCATENATE("R7C",'Mapa final'!#REF!),"")</f>
        <v>#REF!</v>
      </c>
      <c r="S12" s="49" t="e">
        <f>IF(AND('Mapa final'!#REF!="Muy Alta",'Mapa final'!#REF!="Menor"),CONCATENATE("R7C",'Mapa final'!#REF!),"")</f>
        <v>#REF!</v>
      </c>
      <c r="T12" s="49" t="e">
        <f>IF(AND('Mapa final'!#REF!="Muy Alta",'Mapa final'!#REF!="Menor"),CONCATENATE("R7C",'Mapa final'!#REF!),"")</f>
        <v>#REF!</v>
      </c>
      <c r="U12" s="50" t="e">
        <f>IF(AND('Mapa final'!#REF!="Muy Alta",'Mapa final'!#REF!="Menor"),CONCATENATE("R7C",'Mapa final'!#REF!),"")</f>
        <v>#REF!</v>
      </c>
      <c r="V12" s="48" t="str">
        <f>IF(AND('Mapa final'!$Y$41="Muy Alta",'Mapa final'!$AA$41="Moderado"),CONCATENATE("R7C",'Mapa final'!$O$41),"")</f>
        <v/>
      </c>
      <c r="W12" s="49" t="str">
        <f>IF(AND('Mapa final'!$Y$42="Muy Alta",'Mapa final'!$AA$42="Moderado"),CONCATENATE("R7C",'Mapa final'!$O$42),"")</f>
        <v/>
      </c>
      <c r="X12" s="49" t="e">
        <f>IF(AND('Mapa final'!#REF!="Muy Alta",'Mapa final'!#REF!="Moderado"),CONCATENATE("R7C",'Mapa final'!#REF!),"")</f>
        <v>#REF!</v>
      </c>
      <c r="Y12" s="49" t="e">
        <f>IF(AND('Mapa final'!#REF!="Muy Alta",'Mapa final'!#REF!="Moderado"),CONCATENATE("R7C",'Mapa final'!#REF!),"")</f>
        <v>#REF!</v>
      </c>
      <c r="Z12" s="49" t="e">
        <f>IF(AND('Mapa final'!#REF!="Muy Alta",'Mapa final'!#REF!="Moderado"),CONCATENATE("R7C",'Mapa final'!#REF!),"")</f>
        <v>#REF!</v>
      </c>
      <c r="AA12" s="50" t="e">
        <f>IF(AND('Mapa final'!#REF!="Muy Alta",'Mapa final'!#REF!="Moderado"),CONCATENATE("R7C",'Mapa final'!#REF!),"")</f>
        <v>#REF!</v>
      </c>
      <c r="AB12" s="48" t="str">
        <f>IF(AND('Mapa final'!$Y$41="Muy Alta",'Mapa final'!$AA$41="Mayor"),CONCATENATE("R7C",'Mapa final'!$O$41),"")</f>
        <v/>
      </c>
      <c r="AC12" s="49" t="str">
        <f>IF(AND('Mapa final'!$Y$42="Muy Alta",'Mapa final'!$AA$42="Mayor"),CONCATENATE("R7C",'Mapa final'!$O$42),"")</f>
        <v/>
      </c>
      <c r="AD12" s="49" t="e">
        <f>IF(AND('Mapa final'!#REF!="Muy Alta",'Mapa final'!#REF!="Mayor"),CONCATENATE("R7C",'Mapa final'!#REF!),"")</f>
        <v>#REF!</v>
      </c>
      <c r="AE12" s="49" t="e">
        <f>IF(AND('Mapa final'!#REF!="Muy Alta",'Mapa final'!#REF!="Mayor"),CONCATENATE("R7C",'Mapa final'!#REF!),"")</f>
        <v>#REF!</v>
      </c>
      <c r="AF12" s="49" t="e">
        <f>IF(AND('Mapa final'!#REF!="Muy Alta",'Mapa final'!#REF!="Mayor"),CONCATENATE("R7C",'Mapa final'!#REF!),"")</f>
        <v>#REF!</v>
      </c>
      <c r="AG12" s="50" t="e">
        <f>IF(AND('Mapa final'!#REF!="Muy Alta",'Mapa final'!#REF!="Mayor"),CONCATENATE("R7C",'Mapa final'!#REF!),"")</f>
        <v>#REF!</v>
      </c>
      <c r="AH12" s="51" t="str">
        <f>IF(AND('Mapa final'!$Y$41="Muy Alta",'Mapa final'!$AA$41="Catastrófico"),CONCATENATE("R7C",'Mapa final'!$O$41),"")</f>
        <v/>
      </c>
      <c r="AI12" s="52" t="str">
        <f>IF(AND('Mapa final'!$Y$42="Muy Alta",'Mapa final'!$AA$42="Catastrófico"),CONCATENATE("R7C",'Mapa final'!$O$42),"")</f>
        <v/>
      </c>
      <c r="AJ12" s="52" t="e">
        <f>IF(AND('Mapa final'!#REF!="Muy Alta",'Mapa final'!#REF!="Catastrófico"),CONCATENATE("R7C",'Mapa final'!#REF!),"")</f>
        <v>#REF!</v>
      </c>
      <c r="AK12" s="52" t="e">
        <f>IF(AND('Mapa final'!#REF!="Muy Alta",'Mapa final'!#REF!="Catastrófico"),CONCATENATE("R7C",'Mapa final'!#REF!),"")</f>
        <v>#REF!</v>
      </c>
      <c r="AL12" s="52" t="e">
        <f>IF(AND('Mapa final'!#REF!="Muy Alta",'Mapa final'!#REF!="Catastrófico"),CONCATENATE("R7C",'Mapa final'!#REF!),"")</f>
        <v>#REF!</v>
      </c>
      <c r="AM12" s="53" t="e">
        <f>IF(AND('Mapa final'!#REF!="Muy Alta",'Mapa final'!#REF!="Catastrófico"),CONCATENATE("R7C",'Mapa final'!#REF!),"")</f>
        <v>#REF!</v>
      </c>
      <c r="AN12" s="79"/>
      <c r="AO12" s="451"/>
      <c r="AP12" s="452"/>
      <c r="AQ12" s="452"/>
      <c r="AR12" s="452"/>
      <c r="AS12" s="452"/>
      <c r="AT12" s="453"/>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row>
    <row r="13" spans="1:91" ht="15" customHeight="1" x14ac:dyDescent="0.25">
      <c r="A13" s="79"/>
      <c r="B13" s="346"/>
      <c r="C13" s="346"/>
      <c r="D13" s="347"/>
      <c r="E13" s="445"/>
      <c r="F13" s="444"/>
      <c r="G13" s="444"/>
      <c r="H13" s="444"/>
      <c r="I13" s="460"/>
      <c r="J13" s="48" t="str">
        <f>IF(AND('Mapa final'!$Y$43="Muy Alta",'Mapa final'!$AA$43="Leve"),CONCATENATE("R8C",'Mapa final'!$O$43),"")</f>
        <v/>
      </c>
      <c r="K13" s="49" t="str">
        <f>IF(AND('Mapa final'!$Y$44="Muy Alta",'Mapa final'!$AA$44="Leve"),CONCATENATE("R8C",'Mapa final'!$O$44),"")</f>
        <v/>
      </c>
      <c r="L13" s="49" t="str">
        <f>IF(AND('Mapa final'!$Y$45="Muy Alta",'Mapa final'!$AA$45="Leve"),CONCATENATE("R8C",'Mapa final'!$O$45),"")</f>
        <v/>
      </c>
      <c r="M13" s="49" t="str">
        <f>IF(AND('Mapa final'!$Y$46="Muy Alta",'Mapa final'!$AA$46="Leve"),CONCATENATE("R8C",'Mapa final'!$O$46),"")</f>
        <v/>
      </c>
      <c r="N13" s="49" t="str">
        <f>IF(AND('Mapa final'!$Y$47="Muy Alta",'Mapa final'!$AA$47="Leve"),CONCATENATE("R8C",'Mapa final'!$O$47),"")</f>
        <v/>
      </c>
      <c r="O13" s="50" t="str">
        <f>IF(AND('Mapa final'!$Y$48="Muy Alta",'Mapa final'!$AA$48="Leve"),CONCATENATE("R8C",'Mapa final'!$O$48),"")</f>
        <v/>
      </c>
      <c r="P13" s="48" t="str">
        <f>IF(AND('Mapa final'!$Y$43="Muy Alta",'Mapa final'!$AA$43="Menor"),CONCATENATE("R8C",'Mapa final'!$O$43),"")</f>
        <v/>
      </c>
      <c r="Q13" s="49" t="str">
        <f>IF(AND('Mapa final'!$Y$44="Muy Alta",'Mapa final'!$AA$44="Menor"),CONCATENATE("R8C",'Mapa final'!$O$44),"")</f>
        <v/>
      </c>
      <c r="R13" s="49" t="str">
        <f>IF(AND('Mapa final'!$Y$45="Muy Alta",'Mapa final'!$AA$45="Menor"),CONCATENATE("R8C",'Mapa final'!$O$45),"")</f>
        <v/>
      </c>
      <c r="S13" s="49" t="str">
        <f>IF(AND('Mapa final'!$Y$46="Muy Alta",'Mapa final'!$AA$46="Menor"),CONCATENATE("R8C",'Mapa final'!$O$46),"")</f>
        <v/>
      </c>
      <c r="T13" s="49" t="str">
        <f>IF(AND('Mapa final'!$Y$47="Muy Alta",'Mapa final'!$AA$47="Menor"),CONCATENATE("R8C",'Mapa final'!$O$47),"")</f>
        <v/>
      </c>
      <c r="U13" s="50" t="str">
        <f>IF(AND('Mapa final'!$Y$48="Muy Alta",'Mapa final'!$AA$48="Menor"),CONCATENATE("R8C",'Mapa final'!$O$48),"")</f>
        <v/>
      </c>
      <c r="V13" s="48" t="str">
        <f>IF(AND('Mapa final'!$Y$43="Muy Alta",'Mapa final'!$AA$43="Moderado"),CONCATENATE("R8C",'Mapa final'!$O$43),"")</f>
        <v/>
      </c>
      <c r="W13" s="49" t="str">
        <f>IF(AND('Mapa final'!$Y$44="Muy Alta",'Mapa final'!$AA$44="Moderado"),CONCATENATE("R8C",'Mapa final'!$O$44),"")</f>
        <v/>
      </c>
      <c r="X13" s="49" t="str">
        <f>IF(AND('Mapa final'!$Y$45="Muy Alta",'Mapa final'!$AA$45="Moderado"),CONCATENATE("R8C",'Mapa final'!$O$45),"")</f>
        <v/>
      </c>
      <c r="Y13" s="49" t="str">
        <f>IF(AND('Mapa final'!$Y$46="Muy Alta",'Mapa final'!$AA$46="Moderado"),CONCATENATE("R8C",'Mapa final'!$O$46),"")</f>
        <v/>
      </c>
      <c r="Z13" s="49" t="str">
        <f>IF(AND('Mapa final'!$Y$47="Muy Alta",'Mapa final'!$AA$47="Moderado"),CONCATENATE("R8C",'Mapa final'!$O$47),"")</f>
        <v/>
      </c>
      <c r="AA13" s="50" t="str">
        <f>IF(AND('Mapa final'!$Y$48="Muy Alta",'Mapa final'!$AA$48="Moderado"),CONCATENATE("R8C",'Mapa final'!$O$48),"")</f>
        <v/>
      </c>
      <c r="AB13" s="48" t="str">
        <f>IF(AND('Mapa final'!$Y$43="Muy Alta",'Mapa final'!$AA$43="Mayor"),CONCATENATE("R8C",'Mapa final'!$O$43),"")</f>
        <v/>
      </c>
      <c r="AC13" s="49" t="str">
        <f>IF(AND('Mapa final'!$Y$44="Muy Alta",'Mapa final'!$AA$44="Mayor"),CONCATENATE("R8C",'Mapa final'!$O$44),"")</f>
        <v/>
      </c>
      <c r="AD13" s="49" t="str">
        <f>IF(AND('Mapa final'!$Y$45="Muy Alta",'Mapa final'!$AA$45="Mayor"),CONCATENATE("R8C",'Mapa final'!$O$45),"")</f>
        <v/>
      </c>
      <c r="AE13" s="49" t="str">
        <f>IF(AND('Mapa final'!$Y$46="Muy Alta",'Mapa final'!$AA$46="Mayor"),CONCATENATE("R8C",'Mapa final'!$O$46),"")</f>
        <v/>
      </c>
      <c r="AF13" s="49" t="str">
        <f>IF(AND('Mapa final'!$Y$47="Muy Alta",'Mapa final'!$AA$47="Mayor"),CONCATENATE("R8C",'Mapa final'!$O$47),"")</f>
        <v/>
      </c>
      <c r="AG13" s="50" t="str">
        <f>IF(AND('Mapa final'!$Y$48="Muy Alta",'Mapa final'!$AA$48="Mayor"),CONCATENATE("R8C",'Mapa final'!$O$48),"")</f>
        <v/>
      </c>
      <c r="AH13" s="51" t="str">
        <f>IF(AND('Mapa final'!$Y$43="Muy Alta",'Mapa final'!$AA$43="Catastrófico"),CONCATENATE("R8C",'Mapa final'!$O$43),"")</f>
        <v/>
      </c>
      <c r="AI13" s="52" t="str">
        <f>IF(AND('Mapa final'!$Y$44="Muy Alta",'Mapa final'!$AA$44="Catastrófico"),CONCATENATE("R8C",'Mapa final'!$O$44),"")</f>
        <v/>
      </c>
      <c r="AJ13" s="52" t="str">
        <f>IF(AND('Mapa final'!$Y$45="Muy Alta",'Mapa final'!$AA$45="Catastrófico"),CONCATENATE("R8C",'Mapa final'!$O$45),"")</f>
        <v/>
      </c>
      <c r="AK13" s="52" t="str">
        <f>IF(AND('Mapa final'!$Y$46="Muy Alta",'Mapa final'!$AA$46="Catastrófico"),CONCATENATE("R8C",'Mapa final'!$O$46),"")</f>
        <v/>
      </c>
      <c r="AL13" s="52" t="str">
        <f>IF(AND('Mapa final'!$Y$47="Muy Alta",'Mapa final'!$AA$47="Catastrófico"),CONCATENATE("R8C",'Mapa final'!$O$47),"")</f>
        <v/>
      </c>
      <c r="AM13" s="53" t="str">
        <f>IF(AND('Mapa final'!$Y$48="Muy Alta",'Mapa final'!$AA$48="Catastrófico"),CONCATENATE("R8C",'Mapa final'!$O$48),"")</f>
        <v/>
      </c>
      <c r="AN13" s="79"/>
      <c r="AO13" s="451"/>
      <c r="AP13" s="452"/>
      <c r="AQ13" s="452"/>
      <c r="AR13" s="452"/>
      <c r="AS13" s="452"/>
      <c r="AT13" s="453"/>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row>
    <row r="14" spans="1:91" ht="15" customHeight="1" x14ac:dyDescent="0.25">
      <c r="A14" s="79"/>
      <c r="B14" s="346"/>
      <c r="C14" s="346"/>
      <c r="D14" s="347"/>
      <c r="E14" s="445"/>
      <c r="F14" s="444"/>
      <c r="G14" s="444"/>
      <c r="H14" s="444"/>
      <c r="I14" s="460"/>
      <c r="J14" s="48" t="str">
        <f>IF(AND('Mapa final'!$Y$49="Muy Alta",'Mapa final'!$AA$49="Leve"),CONCATENATE("R9C",'Mapa final'!$O$49),"")</f>
        <v/>
      </c>
      <c r="K14" s="49" t="str">
        <f>IF(AND('Mapa final'!$Y$50="Muy Alta",'Mapa final'!$AA$50="Leve"),CONCATENATE("R9C",'Mapa final'!$O$50),"")</f>
        <v/>
      </c>
      <c r="L14" s="49" t="str">
        <f>IF(AND('Mapa final'!$Y$51="Muy Alta",'Mapa final'!$AA$51="Leve"),CONCATENATE("R9C",'Mapa final'!$O$51),"")</f>
        <v/>
      </c>
      <c r="M14" s="49" t="str">
        <f>IF(AND('Mapa final'!$Y$52="Muy Alta",'Mapa final'!$AA$52="Leve"),CONCATENATE("R9C",'Mapa final'!$O$52),"")</f>
        <v/>
      </c>
      <c r="N14" s="49" t="str">
        <f>IF(AND('Mapa final'!$Y$53="Muy Alta",'Mapa final'!$AA$53="Leve"),CONCATENATE("R9C",'Mapa final'!$O$53),"")</f>
        <v/>
      </c>
      <c r="O14" s="50" t="str">
        <f>IF(AND('Mapa final'!$Y$54="Muy Alta",'Mapa final'!$AA$54="Leve"),CONCATENATE("R9C",'Mapa final'!$O$54),"")</f>
        <v/>
      </c>
      <c r="P14" s="48" t="str">
        <f>IF(AND('Mapa final'!$Y$49="Muy Alta",'Mapa final'!$AA$49="Menor"),CONCATENATE("R9C",'Mapa final'!$O$49),"")</f>
        <v/>
      </c>
      <c r="Q14" s="49" t="str">
        <f>IF(AND('Mapa final'!$Y$50="Muy Alta",'Mapa final'!$AA$50="Menor"),CONCATENATE("R9C",'Mapa final'!$O$50),"")</f>
        <v/>
      </c>
      <c r="R14" s="49" t="str">
        <f>IF(AND('Mapa final'!$Y$51="Muy Alta",'Mapa final'!$AA$51="Menor"),CONCATENATE("R9C",'Mapa final'!$O$51),"")</f>
        <v/>
      </c>
      <c r="S14" s="49" t="str">
        <f>IF(AND('Mapa final'!$Y$52="Muy Alta",'Mapa final'!$AA$52="Menor"),CONCATENATE("R9C",'Mapa final'!$O$52),"")</f>
        <v/>
      </c>
      <c r="T14" s="49" t="str">
        <f>IF(AND('Mapa final'!$Y$53="Muy Alta",'Mapa final'!$AA$53="Menor"),CONCATENATE("R9C",'Mapa final'!$O$53),"")</f>
        <v/>
      </c>
      <c r="U14" s="50" t="str">
        <f>IF(AND('Mapa final'!$Y$54="Muy Alta",'Mapa final'!$AA$54="Menor"),CONCATENATE("R9C",'Mapa final'!$O$54),"")</f>
        <v/>
      </c>
      <c r="V14" s="48" t="str">
        <f>IF(AND('Mapa final'!$Y$49="Muy Alta",'Mapa final'!$AA$49="Moderado"),CONCATENATE("R9C",'Mapa final'!$O$49),"")</f>
        <v/>
      </c>
      <c r="W14" s="49" t="str">
        <f>IF(AND('Mapa final'!$Y$50="Muy Alta",'Mapa final'!$AA$50="Moderado"),CONCATENATE("R9C",'Mapa final'!$O$50),"")</f>
        <v/>
      </c>
      <c r="X14" s="49" t="str">
        <f>IF(AND('Mapa final'!$Y$51="Muy Alta",'Mapa final'!$AA$51="Moderado"),CONCATENATE("R9C",'Mapa final'!$O$51),"")</f>
        <v/>
      </c>
      <c r="Y14" s="49" t="str">
        <f>IF(AND('Mapa final'!$Y$52="Muy Alta",'Mapa final'!$AA$52="Moderado"),CONCATENATE("R9C",'Mapa final'!$O$52),"")</f>
        <v/>
      </c>
      <c r="Z14" s="49" t="str">
        <f>IF(AND('Mapa final'!$Y$53="Muy Alta",'Mapa final'!$AA$53="Moderado"),CONCATENATE("R9C",'Mapa final'!$O$53),"")</f>
        <v/>
      </c>
      <c r="AA14" s="50" t="str">
        <f>IF(AND('Mapa final'!$Y$54="Muy Alta",'Mapa final'!$AA$54="Moderado"),CONCATENATE("R9C",'Mapa final'!$O$54),"")</f>
        <v/>
      </c>
      <c r="AB14" s="48" t="str">
        <f>IF(AND('Mapa final'!$Y$49="Muy Alta",'Mapa final'!$AA$49="Mayor"),CONCATENATE("R9C",'Mapa final'!$O$49),"")</f>
        <v/>
      </c>
      <c r="AC14" s="49" t="str">
        <f>IF(AND('Mapa final'!$Y$50="Muy Alta",'Mapa final'!$AA$50="Mayor"),CONCATENATE("R9C",'Mapa final'!$O$50),"")</f>
        <v/>
      </c>
      <c r="AD14" s="49" t="str">
        <f>IF(AND('Mapa final'!$Y$51="Muy Alta",'Mapa final'!$AA$51="Mayor"),CONCATENATE("R9C",'Mapa final'!$O$51),"")</f>
        <v/>
      </c>
      <c r="AE14" s="49" t="str">
        <f>IF(AND('Mapa final'!$Y$52="Muy Alta",'Mapa final'!$AA$52="Mayor"),CONCATENATE("R9C",'Mapa final'!$O$52),"")</f>
        <v/>
      </c>
      <c r="AF14" s="49" t="str">
        <f>IF(AND('Mapa final'!$Y$53="Muy Alta",'Mapa final'!$AA$53="Mayor"),CONCATENATE("R9C",'Mapa final'!$O$53),"")</f>
        <v/>
      </c>
      <c r="AG14" s="50" t="str">
        <f>IF(AND('Mapa final'!$Y$54="Muy Alta",'Mapa final'!$AA$54="Mayor"),CONCATENATE("R9C",'Mapa final'!$O$54),"")</f>
        <v/>
      </c>
      <c r="AH14" s="51" t="str">
        <f>IF(AND('Mapa final'!$Y$49="Muy Alta",'Mapa final'!$AA$49="Catastrófico"),CONCATENATE("R9C",'Mapa final'!$O$49),"")</f>
        <v/>
      </c>
      <c r="AI14" s="52" t="str">
        <f>IF(AND('Mapa final'!$Y$50="Muy Alta",'Mapa final'!$AA$50="Catastrófico"),CONCATENATE("R9C",'Mapa final'!$O$50),"")</f>
        <v/>
      </c>
      <c r="AJ14" s="52" t="str">
        <f>IF(AND('Mapa final'!$Y$51="Muy Alta",'Mapa final'!$AA$51="Catastrófico"),CONCATENATE("R9C",'Mapa final'!$O$51),"")</f>
        <v/>
      </c>
      <c r="AK14" s="52" t="str">
        <f>IF(AND('Mapa final'!$Y$52="Muy Alta",'Mapa final'!$AA$52="Catastrófico"),CONCATENATE("R9C",'Mapa final'!$O$52),"")</f>
        <v/>
      </c>
      <c r="AL14" s="52" t="str">
        <f>IF(AND('Mapa final'!$Y$53="Muy Alta",'Mapa final'!$AA$53="Catastrófico"),CONCATENATE("R9C",'Mapa final'!$O$53),"")</f>
        <v/>
      </c>
      <c r="AM14" s="53" t="str">
        <f>IF(AND('Mapa final'!$Y$54="Muy Alta",'Mapa final'!$AA$54="Catastrófico"),CONCATENATE("R9C",'Mapa final'!$O$54),"")</f>
        <v/>
      </c>
      <c r="AN14" s="79"/>
      <c r="AO14" s="451"/>
      <c r="AP14" s="452"/>
      <c r="AQ14" s="452"/>
      <c r="AR14" s="452"/>
      <c r="AS14" s="452"/>
      <c r="AT14" s="453"/>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row>
    <row r="15" spans="1:91" ht="15.75" customHeight="1" thickBot="1" x14ac:dyDescent="0.3">
      <c r="A15" s="79"/>
      <c r="B15" s="346"/>
      <c r="C15" s="346"/>
      <c r="D15" s="347"/>
      <c r="E15" s="446"/>
      <c r="F15" s="447"/>
      <c r="G15" s="447"/>
      <c r="H15" s="447"/>
      <c r="I15" s="461"/>
      <c r="J15" s="54" t="str">
        <f>IF(AND('Mapa final'!$Y$55="Muy Alta",'Mapa final'!$AA$55="Leve"),CONCATENATE("R10C",'Mapa final'!$O$55),"")</f>
        <v/>
      </c>
      <c r="K15" s="55" t="str">
        <f>IF(AND('Mapa final'!$Y$56="Muy Alta",'Mapa final'!$AA$56="Leve"),CONCATENATE("R10C",'Mapa final'!$O$56),"")</f>
        <v/>
      </c>
      <c r="L15" s="55" t="str">
        <f>IF(AND('Mapa final'!$Y$57="Muy Alta",'Mapa final'!$AA$57="Leve"),CONCATENATE("R10C",'Mapa final'!$O$57),"")</f>
        <v/>
      </c>
      <c r="M15" s="55" t="str">
        <f>IF(AND('Mapa final'!$Y$58="Muy Alta",'Mapa final'!$AA$58="Leve"),CONCATENATE("R10C",'Mapa final'!$O$58),"")</f>
        <v/>
      </c>
      <c r="N15" s="55" t="str">
        <f>IF(AND('Mapa final'!$Y$59="Muy Alta",'Mapa final'!$AA$59="Leve"),CONCATENATE("R10C",'Mapa final'!$O$59),"")</f>
        <v/>
      </c>
      <c r="O15" s="56" t="str">
        <f>IF(AND('Mapa final'!$Y$60="Muy Alta",'Mapa final'!$AA$60="Leve"),CONCATENATE("R10C",'Mapa final'!$O$60),"")</f>
        <v/>
      </c>
      <c r="P15" s="48" t="str">
        <f>IF(AND('Mapa final'!$Y$55="Muy Alta",'Mapa final'!$AA$55="Menor"),CONCATENATE("R10C",'Mapa final'!$O$55),"")</f>
        <v/>
      </c>
      <c r="Q15" s="49" t="str">
        <f>IF(AND('Mapa final'!$Y$56="Muy Alta",'Mapa final'!$AA$56="Menor"),CONCATENATE("R10C",'Mapa final'!$O$56),"")</f>
        <v/>
      </c>
      <c r="R15" s="49" t="str">
        <f>IF(AND('Mapa final'!$Y$57="Muy Alta",'Mapa final'!$AA$57="Menor"),CONCATENATE("R10C",'Mapa final'!$O$57),"")</f>
        <v/>
      </c>
      <c r="S15" s="49" t="str">
        <f>IF(AND('Mapa final'!$Y$58="Muy Alta",'Mapa final'!$AA$58="Menor"),CONCATENATE("R10C",'Mapa final'!$O$58),"")</f>
        <v/>
      </c>
      <c r="T15" s="49" t="str">
        <f>IF(AND('Mapa final'!$Y$59="Muy Alta",'Mapa final'!$AA$59="Menor"),CONCATENATE("R10C",'Mapa final'!$O$59),"")</f>
        <v/>
      </c>
      <c r="U15" s="50" t="str">
        <f>IF(AND('Mapa final'!$Y$60="Muy Alta",'Mapa final'!$AA$60="Menor"),CONCATENATE("R10C",'Mapa final'!$O$60),"")</f>
        <v/>
      </c>
      <c r="V15" s="54" t="str">
        <f>IF(AND('Mapa final'!$Y$55="Muy Alta",'Mapa final'!$AA$55="Moderado"),CONCATENATE("R10C",'Mapa final'!$O$55),"")</f>
        <v/>
      </c>
      <c r="W15" s="55" t="str">
        <f>IF(AND('Mapa final'!$Y$56="Muy Alta",'Mapa final'!$AA$56="Moderado"),CONCATENATE("R10C",'Mapa final'!$O$56),"")</f>
        <v/>
      </c>
      <c r="X15" s="55" t="str">
        <f>IF(AND('Mapa final'!$Y$57="Muy Alta",'Mapa final'!$AA$57="Moderado"),CONCATENATE("R10C",'Mapa final'!$O$57),"")</f>
        <v/>
      </c>
      <c r="Y15" s="55" t="str">
        <f>IF(AND('Mapa final'!$Y$58="Muy Alta",'Mapa final'!$AA$58="Moderado"),CONCATENATE("R10C",'Mapa final'!$O$58),"")</f>
        <v/>
      </c>
      <c r="Z15" s="55" t="str">
        <f>IF(AND('Mapa final'!$Y$59="Muy Alta",'Mapa final'!$AA$59="Moderado"),CONCATENATE("R10C",'Mapa final'!$O$59),"")</f>
        <v/>
      </c>
      <c r="AA15" s="56" t="str">
        <f>IF(AND('Mapa final'!$Y$60="Muy Alta",'Mapa final'!$AA$60="Moderado"),CONCATENATE("R10C",'Mapa final'!$O$60),"")</f>
        <v/>
      </c>
      <c r="AB15" s="48" t="str">
        <f>IF(AND('Mapa final'!$Y$55="Muy Alta",'Mapa final'!$AA$55="Mayor"),CONCATENATE("R10C",'Mapa final'!$O$55),"")</f>
        <v/>
      </c>
      <c r="AC15" s="49" t="str">
        <f>IF(AND('Mapa final'!$Y$56="Muy Alta",'Mapa final'!$AA$56="Mayor"),CONCATENATE("R10C",'Mapa final'!$O$56),"")</f>
        <v/>
      </c>
      <c r="AD15" s="49" t="str">
        <f>IF(AND('Mapa final'!$Y$57="Muy Alta",'Mapa final'!$AA$57="Mayor"),CONCATENATE("R10C",'Mapa final'!$O$57),"")</f>
        <v/>
      </c>
      <c r="AE15" s="49" t="str">
        <f>IF(AND('Mapa final'!$Y$58="Muy Alta",'Mapa final'!$AA$58="Mayor"),CONCATENATE("R10C",'Mapa final'!$O$58),"")</f>
        <v/>
      </c>
      <c r="AF15" s="49" t="str">
        <f>IF(AND('Mapa final'!$Y$59="Muy Alta",'Mapa final'!$AA$59="Mayor"),CONCATENATE("R10C",'Mapa final'!$O$59),"")</f>
        <v/>
      </c>
      <c r="AG15" s="50" t="str">
        <f>IF(AND('Mapa final'!$Y$60="Muy Alta",'Mapa final'!$AA$60="Mayor"),CONCATENATE("R10C",'Mapa final'!$O$60),"")</f>
        <v/>
      </c>
      <c r="AH15" s="57" t="str">
        <f>IF(AND('Mapa final'!$Y$55="Muy Alta",'Mapa final'!$AA$55="Catastrófico"),CONCATENATE("R10C",'Mapa final'!$O$55),"")</f>
        <v/>
      </c>
      <c r="AI15" s="58" t="str">
        <f>IF(AND('Mapa final'!$Y$56="Muy Alta",'Mapa final'!$AA$56="Catastrófico"),CONCATENATE("R10C",'Mapa final'!$O$56),"")</f>
        <v/>
      </c>
      <c r="AJ15" s="58" t="str">
        <f>IF(AND('Mapa final'!$Y$57="Muy Alta",'Mapa final'!$AA$57="Catastrófico"),CONCATENATE("R10C",'Mapa final'!$O$57),"")</f>
        <v/>
      </c>
      <c r="AK15" s="58" t="str">
        <f>IF(AND('Mapa final'!$Y$58="Muy Alta",'Mapa final'!$AA$58="Catastrófico"),CONCATENATE("R10C",'Mapa final'!$O$58),"")</f>
        <v/>
      </c>
      <c r="AL15" s="58" t="str">
        <f>IF(AND('Mapa final'!$Y$59="Muy Alta",'Mapa final'!$AA$59="Catastrófico"),CONCATENATE("R10C",'Mapa final'!$O$59),"")</f>
        <v/>
      </c>
      <c r="AM15" s="59" t="str">
        <f>IF(AND('Mapa final'!$Y$60="Muy Alta",'Mapa final'!$AA$60="Catastrófico"),CONCATENATE("R10C",'Mapa final'!$O$60),"")</f>
        <v/>
      </c>
      <c r="AN15" s="79"/>
      <c r="AO15" s="454"/>
      <c r="AP15" s="455"/>
      <c r="AQ15" s="455"/>
      <c r="AR15" s="455"/>
      <c r="AS15" s="455"/>
      <c r="AT15" s="456"/>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row>
    <row r="16" spans="1:91" ht="15" customHeight="1" x14ac:dyDescent="0.25">
      <c r="A16" s="79"/>
      <c r="B16" s="346"/>
      <c r="C16" s="346"/>
      <c r="D16" s="347"/>
      <c r="E16" s="441" t="s">
        <v>94</v>
      </c>
      <c r="F16" s="442"/>
      <c r="G16" s="442"/>
      <c r="H16" s="442"/>
      <c r="I16" s="442"/>
      <c r="J16" s="60" t="str">
        <f>IF(AND('Mapa final'!$Y$24="Alta",'Mapa final'!$AA$24="Leve"),CONCATENATE("R1C",'Mapa final'!$O$24),"")</f>
        <v>R1C1</v>
      </c>
      <c r="K16" s="61" t="str">
        <f>IF(AND('Mapa final'!$Y$25="Alta",'Mapa final'!$AA$25="Leve"),CONCATENATE("R1C",'Mapa final'!$O$25),"")</f>
        <v/>
      </c>
      <c r="L16" s="61" t="str">
        <f>IF(AND('Mapa final'!$Y$26="Alta",'Mapa final'!$AA$26="Leve"),CONCATENATE("R1C",'Mapa final'!$O$26),"")</f>
        <v/>
      </c>
      <c r="M16" s="61" t="e">
        <f>IF(AND('Mapa final'!#REF!="Alta",'Mapa final'!#REF!="Leve"),CONCATENATE("R1C",'Mapa final'!#REF!),"")</f>
        <v>#REF!</v>
      </c>
      <c r="N16" s="61" t="e">
        <f>IF(AND('Mapa final'!#REF!="Alta",'Mapa final'!#REF!="Leve"),CONCATENATE("R1C",'Mapa final'!#REF!),"")</f>
        <v>#REF!</v>
      </c>
      <c r="O16" s="62" t="e">
        <f>IF(AND('Mapa final'!#REF!="Alta",'Mapa final'!#REF!="Leve"),CONCATENATE("R1C",'Mapa final'!#REF!),"")</f>
        <v>#REF!</v>
      </c>
      <c r="P16" s="60" t="str">
        <f>IF(AND('Mapa final'!$Y$24="Alta",'Mapa final'!$AA$24="Menor"),CONCATENATE("R1C",'Mapa final'!$O$24),"")</f>
        <v/>
      </c>
      <c r="Q16" s="61" t="str">
        <f>IF(AND('Mapa final'!$Y$25="Alta",'Mapa final'!$AA$25="Menor"),CONCATENATE("R1C",'Mapa final'!$O$25),"")</f>
        <v/>
      </c>
      <c r="R16" s="61" t="str">
        <f>IF(AND('Mapa final'!$Y$26="Alta",'Mapa final'!$AA$26="Menor"),CONCATENATE("R1C",'Mapa final'!$O$26),"")</f>
        <v/>
      </c>
      <c r="S16" s="61" t="e">
        <f>IF(AND('Mapa final'!#REF!="Alta",'Mapa final'!#REF!="Menor"),CONCATENATE("R1C",'Mapa final'!#REF!),"")</f>
        <v>#REF!</v>
      </c>
      <c r="T16" s="61" t="e">
        <f>IF(AND('Mapa final'!#REF!="Alta",'Mapa final'!#REF!="Menor"),CONCATENATE("R1C",'Mapa final'!#REF!),"")</f>
        <v>#REF!</v>
      </c>
      <c r="U16" s="62" t="e">
        <f>IF(AND('Mapa final'!#REF!="Alta",'Mapa final'!#REF!="Menor"),CONCATENATE("R1C",'Mapa final'!#REF!),"")</f>
        <v>#REF!</v>
      </c>
      <c r="V16" s="42" t="str">
        <f>IF(AND('Mapa final'!$Y$24="Alta",'Mapa final'!$AA$24="Moderado"),CONCATENATE("R1C",'Mapa final'!$O$24),"")</f>
        <v/>
      </c>
      <c r="W16" s="43" t="str">
        <f>IF(AND('Mapa final'!$Y$25="Alta",'Mapa final'!$AA$25="Moderado"),CONCATENATE("R1C",'Mapa final'!$O$25),"")</f>
        <v/>
      </c>
      <c r="X16" s="43" t="str">
        <f>IF(AND('Mapa final'!$Y$26="Alta",'Mapa final'!$AA$26="Moderado"),CONCATENATE("R1C",'Mapa final'!$O$26),"")</f>
        <v/>
      </c>
      <c r="Y16" s="43" t="e">
        <f>IF(AND('Mapa final'!#REF!="Alta",'Mapa final'!#REF!="Moderado"),CONCATENATE("R1C",'Mapa final'!#REF!),"")</f>
        <v>#REF!</v>
      </c>
      <c r="Z16" s="43" t="e">
        <f>IF(AND('Mapa final'!#REF!="Alta",'Mapa final'!#REF!="Moderado"),CONCATENATE("R1C",'Mapa final'!#REF!),"")</f>
        <v>#REF!</v>
      </c>
      <c r="AA16" s="44" t="e">
        <f>IF(AND('Mapa final'!#REF!="Alta",'Mapa final'!#REF!="Moderado"),CONCATENATE("R1C",'Mapa final'!#REF!),"")</f>
        <v>#REF!</v>
      </c>
      <c r="AB16" s="42" t="str">
        <f>IF(AND('Mapa final'!$Y$24="Alta",'Mapa final'!$AA$24="Mayor"),CONCATENATE("R1C",'Mapa final'!$O$24),"")</f>
        <v/>
      </c>
      <c r="AC16" s="43" t="str">
        <f>IF(AND('Mapa final'!$Y$25="Alta",'Mapa final'!$AA$25="Mayor"),CONCATENATE("R1C",'Mapa final'!$O$25),"")</f>
        <v/>
      </c>
      <c r="AD16" s="43" t="str">
        <f>IF(AND('Mapa final'!$Y$26="Alta",'Mapa final'!$AA$26="Mayor"),CONCATENATE("R1C",'Mapa final'!$O$26),"")</f>
        <v/>
      </c>
      <c r="AE16" s="43" t="e">
        <f>IF(AND('Mapa final'!#REF!="Alta",'Mapa final'!#REF!="Mayor"),CONCATENATE("R1C",'Mapa final'!#REF!),"")</f>
        <v>#REF!</v>
      </c>
      <c r="AF16" s="43" t="e">
        <f>IF(AND('Mapa final'!#REF!="Alta",'Mapa final'!#REF!="Mayor"),CONCATENATE("R1C",'Mapa final'!#REF!),"")</f>
        <v>#REF!</v>
      </c>
      <c r="AG16" s="44" t="e">
        <f>IF(AND('Mapa final'!#REF!="Alta",'Mapa final'!#REF!="Mayor"),CONCATENATE("R1C",'Mapa final'!#REF!),"")</f>
        <v>#REF!</v>
      </c>
      <c r="AH16" s="45" t="str">
        <f>IF(AND('Mapa final'!$Y$24="Alta",'Mapa final'!$AA$24="Catastrófico"),CONCATENATE("R1C",'Mapa final'!$O$24),"")</f>
        <v/>
      </c>
      <c r="AI16" s="46" t="str">
        <f>IF(AND('Mapa final'!$Y$25="Alta",'Mapa final'!$AA$25="Catastrófico"),CONCATENATE("R1C",'Mapa final'!$O$25),"")</f>
        <v/>
      </c>
      <c r="AJ16" s="46" t="str">
        <f>IF(AND('Mapa final'!$Y$26="Alta",'Mapa final'!$AA$26="Catastrófico"),CONCATENATE("R1C",'Mapa final'!$O$26),"")</f>
        <v/>
      </c>
      <c r="AK16" s="46" t="e">
        <f>IF(AND('Mapa final'!#REF!="Alta",'Mapa final'!#REF!="Catastrófico"),CONCATENATE("R1C",'Mapa final'!#REF!),"")</f>
        <v>#REF!</v>
      </c>
      <c r="AL16" s="46" t="e">
        <f>IF(AND('Mapa final'!#REF!="Alta",'Mapa final'!#REF!="Catastrófico"),CONCATENATE("R1C",'Mapa final'!#REF!),"")</f>
        <v>#REF!</v>
      </c>
      <c r="AM16" s="47" t="e">
        <f>IF(AND('Mapa final'!#REF!="Alta",'Mapa final'!#REF!="Catastrófico"),CONCATENATE("R1C",'Mapa final'!#REF!),"")</f>
        <v>#REF!</v>
      </c>
      <c r="AN16" s="79"/>
      <c r="AO16" s="432" t="s">
        <v>95</v>
      </c>
      <c r="AP16" s="433"/>
      <c r="AQ16" s="433"/>
      <c r="AR16" s="433"/>
      <c r="AS16" s="433"/>
      <c r="AT16" s="434"/>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row>
    <row r="17" spans="1:76" ht="15" customHeight="1" x14ac:dyDescent="0.25">
      <c r="A17" s="79"/>
      <c r="B17" s="346"/>
      <c r="C17" s="346"/>
      <c r="D17" s="347"/>
      <c r="E17" s="443"/>
      <c r="F17" s="444"/>
      <c r="G17" s="444"/>
      <c r="H17" s="444"/>
      <c r="I17" s="444"/>
      <c r="J17" s="63" t="str">
        <f>IF(AND('Mapa final'!$Y$27="Alta",'Mapa final'!$AA$27="Leve"),CONCATENATE("R2C",'Mapa final'!$O$27),"")</f>
        <v/>
      </c>
      <c r="K17" s="64" t="str">
        <f>IF(AND('Mapa final'!$Y$28="Alta",'Mapa final'!$AA$28="Leve"),CONCATENATE("R2C",'Mapa final'!$O$28),"")</f>
        <v/>
      </c>
      <c r="L17" s="64" t="str">
        <f>IF(AND('Mapa final'!$Y$29="Alta",'Mapa final'!$AA$29="Leve"),CONCATENATE("R2C",'Mapa final'!$O$29),"")</f>
        <v/>
      </c>
      <c r="M17" s="64" t="e">
        <f>IF(AND('Mapa final'!#REF!="Alta",'Mapa final'!#REF!="Leve"),CONCATENATE("R2C",'Mapa final'!#REF!),"")</f>
        <v>#REF!</v>
      </c>
      <c r="N17" s="64" t="e">
        <f>IF(AND('Mapa final'!#REF!="Alta",'Mapa final'!#REF!="Leve"),CONCATENATE("R2C",'Mapa final'!#REF!),"")</f>
        <v>#REF!</v>
      </c>
      <c r="O17" s="65" t="e">
        <f>IF(AND('Mapa final'!#REF!="Alta",'Mapa final'!#REF!="Leve"),CONCATENATE("R2C",'Mapa final'!#REF!),"")</f>
        <v>#REF!</v>
      </c>
      <c r="P17" s="63" t="str">
        <f>IF(AND('Mapa final'!$Y$27="Alta",'Mapa final'!$AA$27="Menor"),CONCATENATE("R2C",'Mapa final'!$O$27),"")</f>
        <v/>
      </c>
      <c r="Q17" s="64" t="str">
        <f>IF(AND('Mapa final'!$Y$28="Alta",'Mapa final'!$AA$28="Menor"),CONCATENATE("R2C",'Mapa final'!$O$28),"")</f>
        <v/>
      </c>
      <c r="R17" s="64" t="str">
        <f>IF(AND('Mapa final'!$Y$29="Alta",'Mapa final'!$AA$29="Menor"),CONCATENATE("R2C",'Mapa final'!$O$29),"")</f>
        <v/>
      </c>
      <c r="S17" s="64" t="e">
        <f>IF(AND('Mapa final'!#REF!="Alta",'Mapa final'!#REF!="Menor"),CONCATENATE("R2C",'Mapa final'!#REF!),"")</f>
        <v>#REF!</v>
      </c>
      <c r="T17" s="64" t="e">
        <f>IF(AND('Mapa final'!#REF!="Alta",'Mapa final'!#REF!="Menor"),CONCATENATE("R2C",'Mapa final'!#REF!),"")</f>
        <v>#REF!</v>
      </c>
      <c r="U17" s="65" t="e">
        <f>IF(AND('Mapa final'!#REF!="Alta",'Mapa final'!#REF!="Menor"),CONCATENATE("R2C",'Mapa final'!#REF!),"")</f>
        <v>#REF!</v>
      </c>
      <c r="V17" s="48" t="str">
        <f>IF(AND('Mapa final'!$Y$27="Alta",'Mapa final'!$AA$27="Moderado"),CONCATENATE("R2C",'Mapa final'!$O$27),"")</f>
        <v/>
      </c>
      <c r="W17" s="49" t="str">
        <f>IF(AND('Mapa final'!$Y$28="Alta",'Mapa final'!$AA$28="Moderado"),CONCATENATE("R2C",'Mapa final'!$O$28),"")</f>
        <v/>
      </c>
      <c r="X17" s="49" t="str">
        <f>IF(AND('Mapa final'!$Y$29="Alta",'Mapa final'!$AA$29="Moderado"),CONCATENATE("R2C",'Mapa final'!$O$29),"")</f>
        <v/>
      </c>
      <c r="Y17" s="49" t="e">
        <f>IF(AND('Mapa final'!#REF!="Alta",'Mapa final'!#REF!="Moderado"),CONCATENATE("R2C",'Mapa final'!#REF!),"")</f>
        <v>#REF!</v>
      </c>
      <c r="Z17" s="49" t="e">
        <f>IF(AND('Mapa final'!#REF!="Alta",'Mapa final'!#REF!="Moderado"),CONCATENATE("R2C",'Mapa final'!#REF!),"")</f>
        <v>#REF!</v>
      </c>
      <c r="AA17" s="50" t="e">
        <f>IF(AND('Mapa final'!#REF!="Alta",'Mapa final'!#REF!="Moderado"),CONCATENATE("R2C",'Mapa final'!#REF!),"")</f>
        <v>#REF!</v>
      </c>
      <c r="AB17" s="48" t="str">
        <f>IF(AND('Mapa final'!$Y$27="Alta",'Mapa final'!$AA$27="Mayor"),CONCATENATE("R2C",'Mapa final'!$O$27),"")</f>
        <v/>
      </c>
      <c r="AC17" s="49" t="str">
        <f>IF(AND('Mapa final'!$Y$28="Alta",'Mapa final'!$AA$28="Mayor"),CONCATENATE("R2C",'Mapa final'!$O$28),"")</f>
        <v/>
      </c>
      <c r="AD17" s="49" t="str">
        <f>IF(AND('Mapa final'!$Y$29="Alta",'Mapa final'!$AA$29="Mayor"),CONCATENATE("R2C",'Mapa final'!$O$29),"")</f>
        <v/>
      </c>
      <c r="AE17" s="49" t="e">
        <f>IF(AND('Mapa final'!#REF!="Alta",'Mapa final'!#REF!="Mayor"),CONCATENATE("R2C",'Mapa final'!#REF!),"")</f>
        <v>#REF!</v>
      </c>
      <c r="AF17" s="49" t="e">
        <f>IF(AND('Mapa final'!#REF!="Alta",'Mapa final'!#REF!="Mayor"),CONCATENATE("R2C",'Mapa final'!#REF!),"")</f>
        <v>#REF!</v>
      </c>
      <c r="AG17" s="50" t="e">
        <f>IF(AND('Mapa final'!#REF!="Alta",'Mapa final'!#REF!="Mayor"),CONCATENATE("R2C",'Mapa final'!#REF!),"")</f>
        <v>#REF!</v>
      </c>
      <c r="AH17" s="51" t="str">
        <f>IF(AND('Mapa final'!$Y$27="Alta",'Mapa final'!$AA$27="Catastrófico"),CONCATENATE("R2C",'Mapa final'!$O$27),"")</f>
        <v/>
      </c>
      <c r="AI17" s="52" t="str">
        <f>IF(AND('Mapa final'!$Y$28="Alta",'Mapa final'!$AA$28="Catastrófico"),CONCATENATE("R2C",'Mapa final'!$O$28),"")</f>
        <v/>
      </c>
      <c r="AJ17" s="52" t="str">
        <f>IF(AND('Mapa final'!$Y$29="Alta",'Mapa final'!$AA$29="Catastrófico"),CONCATENATE("R2C",'Mapa final'!$O$29),"")</f>
        <v/>
      </c>
      <c r="AK17" s="52" t="e">
        <f>IF(AND('Mapa final'!#REF!="Alta",'Mapa final'!#REF!="Catastrófico"),CONCATENATE("R2C",'Mapa final'!#REF!),"")</f>
        <v>#REF!</v>
      </c>
      <c r="AL17" s="52" t="e">
        <f>IF(AND('Mapa final'!#REF!="Alta",'Mapa final'!#REF!="Catastrófico"),CONCATENATE("R2C",'Mapa final'!#REF!),"")</f>
        <v>#REF!</v>
      </c>
      <c r="AM17" s="53" t="e">
        <f>IF(AND('Mapa final'!#REF!="Alta",'Mapa final'!#REF!="Catastrófico"),CONCATENATE("R2C",'Mapa final'!#REF!),"")</f>
        <v>#REF!</v>
      </c>
      <c r="AN17" s="79"/>
      <c r="AO17" s="435"/>
      <c r="AP17" s="436"/>
      <c r="AQ17" s="436"/>
      <c r="AR17" s="436"/>
      <c r="AS17" s="436"/>
      <c r="AT17" s="437"/>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row>
    <row r="18" spans="1:76" ht="15" customHeight="1" x14ac:dyDescent="0.25">
      <c r="A18" s="79"/>
      <c r="B18" s="346"/>
      <c r="C18" s="346"/>
      <c r="D18" s="347"/>
      <c r="E18" s="445"/>
      <c r="F18" s="444"/>
      <c r="G18" s="444"/>
      <c r="H18" s="444"/>
      <c r="I18" s="444"/>
      <c r="J18" s="63" t="str">
        <f>IF(AND('Mapa final'!$Y$30="Alta",'Mapa final'!$AA$30="Leve"),CONCATENATE("R3C",'Mapa final'!$O$30),"")</f>
        <v/>
      </c>
      <c r="K18" s="64" t="e">
        <f>IF(AND('Mapa final'!#REF!="Alta",'Mapa final'!#REF!="Leve"),CONCATENATE("R3C",'Mapa final'!#REF!),"")</f>
        <v>#REF!</v>
      </c>
      <c r="L18" s="64" t="e">
        <f>IF(AND('Mapa final'!#REF!="Alta",'Mapa final'!#REF!="Leve"),CONCATENATE("R3C",'Mapa final'!#REF!),"")</f>
        <v>#REF!</v>
      </c>
      <c r="M18" s="64" t="e">
        <f>IF(AND('Mapa final'!#REF!="Alta",'Mapa final'!#REF!="Leve"),CONCATENATE("R3C",'Mapa final'!#REF!),"")</f>
        <v>#REF!</v>
      </c>
      <c r="N18" s="64" t="e">
        <f>IF(AND('Mapa final'!#REF!="Alta",'Mapa final'!#REF!="Leve"),CONCATENATE("R3C",'Mapa final'!#REF!),"")</f>
        <v>#REF!</v>
      </c>
      <c r="O18" s="65" t="e">
        <f>IF(AND('Mapa final'!#REF!="Alta",'Mapa final'!#REF!="Leve"),CONCATENATE("R3C",'Mapa final'!#REF!),"")</f>
        <v>#REF!</v>
      </c>
      <c r="P18" s="63" t="str">
        <f>IF(AND('Mapa final'!$Y$30="Alta",'Mapa final'!$AA$30="Menor"),CONCATENATE("R3C",'Mapa final'!$O$30),"")</f>
        <v/>
      </c>
      <c r="Q18" s="64" t="e">
        <f>IF(AND('Mapa final'!#REF!="Alta",'Mapa final'!#REF!="Menor"),CONCATENATE("R3C",'Mapa final'!#REF!),"")</f>
        <v>#REF!</v>
      </c>
      <c r="R18" s="64" t="e">
        <f>IF(AND('Mapa final'!#REF!="Alta",'Mapa final'!#REF!="Menor"),CONCATENATE("R3C",'Mapa final'!#REF!),"")</f>
        <v>#REF!</v>
      </c>
      <c r="S18" s="64" t="e">
        <f>IF(AND('Mapa final'!#REF!="Alta",'Mapa final'!#REF!="Menor"),CONCATENATE("R3C",'Mapa final'!#REF!),"")</f>
        <v>#REF!</v>
      </c>
      <c r="T18" s="64" t="e">
        <f>IF(AND('Mapa final'!#REF!="Alta",'Mapa final'!#REF!="Menor"),CONCATENATE("R3C",'Mapa final'!#REF!),"")</f>
        <v>#REF!</v>
      </c>
      <c r="U18" s="65" t="e">
        <f>IF(AND('Mapa final'!#REF!="Alta",'Mapa final'!#REF!="Menor"),CONCATENATE("R3C",'Mapa final'!#REF!),"")</f>
        <v>#REF!</v>
      </c>
      <c r="V18" s="48" t="str">
        <f>IF(AND('Mapa final'!$Y$30="Alta",'Mapa final'!$AA$30="Moderado"),CONCATENATE("R3C",'Mapa final'!$O$30),"")</f>
        <v>R3C1</v>
      </c>
      <c r="W18" s="49" t="e">
        <f>IF(AND('Mapa final'!#REF!="Alta",'Mapa final'!#REF!="Moderado"),CONCATENATE("R3C",'Mapa final'!#REF!),"")</f>
        <v>#REF!</v>
      </c>
      <c r="X18" s="49" t="e">
        <f>IF(AND('Mapa final'!#REF!="Alta",'Mapa final'!#REF!="Moderado"),CONCATENATE("R3C",'Mapa final'!#REF!),"")</f>
        <v>#REF!</v>
      </c>
      <c r="Y18" s="49" t="e">
        <f>IF(AND('Mapa final'!#REF!="Alta",'Mapa final'!#REF!="Moderado"),CONCATENATE("R3C",'Mapa final'!#REF!),"")</f>
        <v>#REF!</v>
      </c>
      <c r="Z18" s="49" t="e">
        <f>IF(AND('Mapa final'!#REF!="Alta",'Mapa final'!#REF!="Moderado"),CONCATENATE("R3C",'Mapa final'!#REF!),"")</f>
        <v>#REF!</v>
      </c>
      <c r="AA18" s="50" t="e">
        <f>IF(AND('Mapa final'!#REF!="Alta",'Mapa final'!#REF!="Moderado"),CONCATENATE("R3C",'Mapa final'!#REF!),"")</f>
        <v>#REF!</v>
      </c>
      <c r="AB18" s="48" t="str">
        <f>IF(AND('Mapa final'!$Y$30="Alta",'Mapa final'!$AA$30="Mayor"),CONCATENATE("R3C",'Mapa final'!$O$30),"")</f>
        <v/>
      </c>
      <c r="AC18" s="49" t="e">
        <f>IF(AND('Mapa final'!#REF!="Alta",'Mapa final'!#REF!="Mayor"),CONCATENATE("R3C",'Mapa final'!#REF!),"")</f>
        <v>#REF!</v>
      </c>
      <c r="AD18" s="49" t="e">
        <f>IF(AND('Mapa final'!#REF!="Alta",'Mapa final'!#REF!="Mayor"),CONCATENATE("R3C",'Mapa final'!#REF!),"")</f>
        <v>#REF!</v>
      </c>
      <c r="AE18" s="49" t="e">
        <f>IF(AND('Mapa final'!#REF!="Alta",'Mapa final'!#REF!="Mayor"),CONCATENATE("R3C",'Mapa final'!#REF!),"")</f>
        <v>#REF!</v>
      </c>
      <c r="AF18" s="49" t="e">
        <f>IF(AND('Mapa final'!#REF!="Alta",'Mapa final'!#REF!="Mayor"),CONCATENATE("R3C",'Mapa final'!#REF!),"")</f>
        <v>#REF!</v>
      </c>
      <c r="AG18" s="50" t="e">
        <f>IF(AND('Mapa final'!#REF!="Alta",'Mapa final'!#REF!="Mayor"),CONCATENATE("R3C",'Mapa final'!#REF!),"")</f>
        <v>#REF!</v>
      </c>
      <c r="AH18" s="51" t="str">
        <f>IF(AND('Mapa final'!$Y$30="Alta",'Mapa final'!$AA$30="Catastrófico"),CONCATENATE("R3C",'Mapa final'!$O$30),"")</f>
        <v/>
      </c>
      <c r="AI18" s="52" t="e">
        <f>IF(AND('Mapa final'!#REF!="Alta",'Mapa final'!#REF!="Catastrófico"),CONCATENATE("R3C",'Mapa final'!#REF!),"")</f>
        <v>#REF!</v>
      </c>
      <c r="AJ18" s="52" t="e">
        <f>IF(AND('Mapa final'!#REF!="Alta",'Mapa final'!#REF!="Catastrófico"),CONCATENATE("R3C",'Mapa final'!#REF!),"")</f>
        <v>#REF!</v>
      </c>
      <c r="AK18" s="52" t="e">
        <f>IF(AND('Mapa final'!#REF!="Alta",'Mapa final'!#REF!="Catastrófico"),CONCATENATE("R3C",'Mapa final'!#REF!),"")</f>
        <v>#REF!</v>
      </c>
      <c r="AL18" s="52" t="e">
        <f>IF(AND('Mapa final'!#REF!="Alta",'Mapa final'!#REF!="Catastrófico"),CONCATENATE("R3C",'Mapa final'!#REF!),"")</f>
        <v>#REF!</v>
      </c>
      <c r="AM18" s="53" t="e">
        <f>IF(AND('Mapa final'!#REF!="Alta",'Mapa final'!#REF!="Catastrófico"),CONCATENATE("R3C",'Mapa final'!#REF!),"")</f>
        <v>#REF!</v>
      </c>
      <c r="AN18" s="79"/>
      <c r="AO18" s="435"/>
      <c r="AP18" s="436"/>
      <c r="AQ18" s="436"/>
      <c r="AR18" s="436"/>
      <c r="AS18" s="436"/>
      <c r="AT18" s="437"/>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row>
    <row r="19" spans="1:76" ht="15" customHeight="1" x14ac:dyDescent="0.25">
      <c r="A19" s="79"/>
      <c r="B19" s="346"/>
      <c r="C19" s="346"/>
      <c r="D19" s="347"/>
      <c r="E19" s="445"/>
      <c r="F19" s="444"/>
      <c r="G19" s="444"/>
      <c r="H19" s="444"/>
      <c r="I19" s="444"/>
      <c r="J19" s="63" t="str">
        <f>IF(AND('Mapa final'!$Y$31="Alta",'Mapa final'!$AA$31="Leve"),CONCATENATE("R4C",'Mapa final'!$O$31),"")</f>
        <v/>
      </c>
      <c r="K19" s="64" t="str">
        <f>IF(AND('Mapa final'!$Y$32="Alta",'Mapa final'!$AA$32="Leve"),CONCATENATE("R4C",'Mapa final'!$O$32),"")</f>
        <v/>
      </c>
      <c r="L19" s="64" t="e">
        <f>IF(AND('Mapa final'!#REF!="Alta",'Mapa final'!#REF!="Leve"),CONCATENATE("R4C",'Mapa final'!#REF!),"")</f>
        <v>#REF!</v>
      </c>
      <c r="M19" s="64" t="e">
        <f>IF(AND('Mapa final'!#REF!="Alta",'Mapa final'!#REF!="Leve"),CONCATENATE("R4C",'Mapa final'!#REF!),"")</f>
        <v>#REF!</v>
      </c>
      <c r="N19" s="64" t="e">
        <f>IF(AND('Mapa final'!#REF!="Alta",'Mapa final'!#REF!="Leve"),CONCATENATE("R4C",'Mapa final'!#REF!),"")</f>
        <v>#REF!</v>
      </c>
      <c r="O19" s="65" t="e">
        <f>IF(AND('Mapa final'!#REF!="Alta",'Mapa final'!#REF!="Leve"),CONCATENATE("R4C",'Mapa final'!#REF!),"")</f>
        <v>#REF!</v>
      </c>
      <c r="P19" s="63" t="str">
        <f>IF(AND('Mapa final'!$Y$31="Alta",'Mapa final'!$AA$31="Menor"),CONCATENATE("R4C",'Mapa final'!$O$31),"")</f>
        <v/>
      </c>
      <c r="Q19" s="64" t="str">
        <f>IF(AND('Mapa final'!$Y$32="Alta",'Mapa final'!$AA$32="Menor"),CONCATENATE("R4C",'Mapa final'!$O$32),"")</f>
        <v/>
      </c>
      <c r="R19" s="64" t="e">
        <f>IF(AND('Mapa final'!#REF!="Alta",'Mapa final'!#REF!="Menor"),CONCATENATE("R4C",'Mapa final'!#REF!),"")</f>
        <v>#REF!</v>
      </c>
      <c r="S19" s="64" t="e">
        <f>IF(AND('Mapa final'!#REF!="Alta",'Mapa final'!#REF!="Menor"),CONCATENATE("R4C",'Mapa final'!#REF!),"")</f>
        <v>#REF!</v>
      </c>
      <c r="T19" s="64" t="e">
        <f>IF(AND('Mapa final'!#REF!="Alta",'Mapa final'!#REF!="Menor"),CONCATENATE("R4C",'Mapa final'!#REF!),"")</f>
        <v>#REF!</v>
      </c>
      <c r="U19" s="65" t="e">
        <f>IF(AND('Mapa final'!#REF!="Alta",'Mapa final'!#REF!="Menor"),CONCATENATE("R4C",'Mapa final'!#REF!),"")</f>
        <v>#REF!</v>
      </c>
      <c r="V19" s="48" t="str">
        <f>IF(AND('Mapa final'!$Y$31="Alta",'Mapa final'!$AA$31="Moderado"),CONCATENATE("R4C",'Mapa final'!$O$31),"")</f>
        <v/>
      </c>
      <c r="W19" s="49" t="str">
        <f>IF(AND('Mapa final'!$Y$32="Alta",'Mapa final'!$AA$32="Moderado"),CONCATENATE("R4C",'Mapa final'!$O$32),"")</f>
        <v/>
      </c>
      <c r="X19" s="49" t="e">
        <f>IF(AND('Mapa final'!#REF!="Alta",'Mapa final'!#REF!="Moderado"),CONCATENATE("R4C",'Mapa final'!#REF!),"")</f>
        <v>#REF!</v>
      </c>
      <c r="Y19" s="49" t="e">
        <f>IF(AND('Mapa final'!#REF!="Alta",'Mapa final'!#REF!="Moderado"),CONCATENATE("R4C",'Mapa final'!#REF!),"")</f>
        <v>#REF!</v>
      </c>
      <c r="Z19" s="49" t="e">
        <f>IF(AND('Mapa final'!#REF!="Alta",'Mapa final'!#REF!="Moderado"),CONCATENATE("R4C",'Mapa final'!#REF!),"")</f>
        <v>#REF!</v>
      </c>
      <c r="AA19" s="50" t="e">
        <f>IF(AND('Mapa final'!#REF!="Alta",'Mapa final'!#REF!="Moderado"),CONCATENATE("R4C",'Mapa final'!#REF!),"")</f>
        <v>#REF!</v>
      </c>
      <c r="AB19" s="48" t="str">
        <f>IF(AND('Mapa final'!$Y$31="Alta",'Mapa final'!$AA$31="Mayor"),CONCATENATE("R4C",'Mapa final'!$O$31),"")</f>
        <v/>
      </c>
      <c r="AC19" s="49" t="str">
        <f>IF(AND('Mapa final'!$Y$32="Alta",'Mapa final'!$AA$32="Mayor"),CONCATENATE("R4C",'Mapa final'!$O$32),"")</f>
        <v/>
      </c>
      <c r="AD19" s="49" t="e">
        <f>IF(AND('Mapa final'!#REF!="Alta",'Mapa final'!#REF!="Mayor"),CONCATENATE("R4C",'Mapa final'!#REF!),"")</f>
        <v>#REF!</v>
      </c>
      <c r="AE19" s="49" t="e">
        <f>IF(AND('Mapa final'!#REF!="Alta",'Mapa final'!#REF!="Mayor"),CONCATENATE("R4C",'Mapa final'!#REF!),"")</f>
        <v>#REF!</v>
      </c>
      <c r="AF19" s="49" t="e">
        <f>IF(AND('Mapa final'!#REF!="Alta",'Mapa final'!#REF!="Mayor"),CONCATENATE("R4C",'Mapa final'!#REF!),"")</f>
        <v>#REF!</v>
      </c>
      <c r="AG19" s="50" t="e">
        <f>IF(AND('Mapa final'!#REF!="Alta",'Mapa final'!#REF!="Mayor"),CONCATENATE("R4C",'Mapa final'!#REF!),"")</f>
        <v>#REF!</v>
      </c>
      <c r="AH19" s="51" t="str">
        <f>IF(AND('Mapa final'!$Y$31="Alta",'Mapa final'!$AA$31="Catastrófico"),CONCATENATE("R4C",'Mapa final'!$O$31),"")</f>
        <v/>
      </c>
      <c r="AI19" s="52" t="str">
        <f>IF(AND('Mapa final'!$Y$32="Alta",'Mapa final'!$AA$32="Catastrófico"),CONCATENATE("R4C",'Mapa final'!$O$32),"")</f>
        <v/>
      </c>
      <c r="AJ19" s="52" t="e">
        <f>IF(AND('Mapa final'!#REF!="Alta",'Mapa final'!#REF!="Catastrófico"),CONCATENATE("R4C",'Mapa final'!#REF!),"")</f>
        <v>#REF!</v>
      </c>
      <c r="AK19" s="52" t="e">
        <f>IF(AND('Mapa final'!#REF!="Alta",'Mapa final'!#REF!="Catastrófico"),CONCATENATE("R4C",'Mapa final'!#REF!),"")</f>
        <v>#REF!</v>
      </c>
      <c r="AL19" s="52" t="e">
        <f>IF(AND('Mapa final'!#REF!="Alta",'Mapa final'!#REF!="Catastrófico"),CONCATENATE("R4C",'Mapa final'!#REF!),"")</f>
        <v>#REF!</v>
      </c>
      <c r="AM19" s="53" t="e">
        <f>IF(AND('Mapa final'!#REF!="Alta",'Mapa final'!#REF!="Catastrófico"),CONCATENATE("R4C",'Mapa final'!#REF!),"")</f>
        <v>#REF!</v>
      </c>
      <c r="AN19" s="79"/>
      <c r="AO19" s="435"/>
      <c r="AP19" s="436"/>
      <c r="AQ19" s="436"/>
      <c r="AR19" s="436"/>
      <c r="AS19" s="436"/>
      <c r="AT19" s="437"/>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row>
    <row r="20" spans="1:76" ht="15" customHeight="1" x14ac:dyDescent="0.25">
      <c r="A20" s="79"/>
      <c r="B20" s="346"/>
      <c r="C20" s="346"/>
      <c r="D20" s="347"/>
      <c r="E20" s="445"/>
      <c r="F20" s="444"/>
      <c r="G20" s="444"/>
      <c r="H20" s="444"/>
      <c r="I20" s="444"/>
      <c r="J20" s="63" t="str">
        <f>IF(AND('Mapa final'!$Y$33="Alta",'Mapa final'!$AA$33="Leve"),CONCATENATE("R5C",'Mapa final'!$O$33),"")</f>
        <v/>
      </c>
      <c r="K20" s="64" t="str">
        <f>IF(AND('Mapa final'!$Y$34="Alta",'Mapa final'!$AA$34="Leve"),CONCATENATE("R5C",'Mapa final'!$O$34),"")</f>
        <v/>
      </c>
      <c r="L20" s="64" t="e">
        <f>IF(AND('Mapa final'!#REF!="Alta",'Mapa final'!#REF!="Leve"),CONCATENATE("R5C",'Mapa final'!#REF!),"")</f>
        <v>#REF!</v>
      </c>
      <c r="M20" s="64" t="e">
        <f>IF(AND('Mapa final'!#REF!="Alta",'Mapa final'!#REF!="Leve"),CONCATENATE("R5C",'Mapa final'!#REF!),"")</f>
        <v>#REF!</v>
      </c>
      <c r="N20" s="64" t="e">
        <f>IF(AND('Mapa final'!#REF!="Alta",'Mapa final'!#REF!="Leve"),CONCATENATE("R5C",'Mapa final'!#REF!),"")</f>
        <v>#REF!</v>
      </c>
      <c r="O20" s="65" t="e">
        <f>IF(AND('Mapa final'!#REF!="Alta",'Mapa final'!#REF!="Leve"),CONCATENATE("R5C",'Mapa final'!#REF!),"")</f>
        <v>#REF!</v>
      </c>
      <c r="P20" s="63" t="str">
        <f>IF(AND('Mapa final'!$Y$33="Alta",'Mapa final'!$AA$33="Menor"),CONCATENATE("R5C",'Mapa final'!$O$33),"")</f>
        <v/>
      </c>
      <c r="Q20" s="64" t="str">
        <f>IF(AND('Mapa final'!$Y$34="Alta",'Mapa final'!$AA$34="Menor"),CONCATENATE("R5C",'Mapa final'!$O$34),"")</f>
        <v/>
      </c>
      <c r="R20" s="64" t="e">
        <f>IF(AND('Mapa final'!#REF!="Alta",'Mapa final'!#REF!="Menor"),CONCATENATE("R5C",'Mapa final'!#REF!),"")</f>
        <v>#REF!</v>
      </c>
      <c r="S20" s="64" t="e">
        <f>IF(AND('Mapa final'!#REF!="Alta",'Mapa final'!#REF!="Menor"),CONCATENATE("R5C",'Mapa final'!#REF!),"")</f>
        <v>#REF!</v>
      </c>
      <c r="T20" s="64" t="e">
        <f>IF(AND('Mapa final'!#REF!="Alta",'Mapa final'!#REF!="Menor"),CONCATENATE("R5C",'Mapa final'!#REF!),"")</f>
        <v>#REF!</v>
      </c>
      <c r="U20" s="65" t="e">
        <f>IF(AND('Mapa final'!#REF!="Alta",'Mapa final'!#REF!="Menor"),CONCATENATE("R5C",'Mapa final'!#REF!),"")</f>
        <v>#REF!</v>
      </c>
      <c r="V20" s="48" t="str">
        <f>IF(AND('Mapa final'!$Y$33="Alta",'Mapa final'!$AA$33="Moderado"),CONCATENATE("R5C",'Mapa final'!$O$33),"")</f>
        <v/>
      </c>
      <c r="W20" s="49" t="str">
        <f>IF(AND('Mapa final'!$Y$34="Alta",'Mapa final'!$AA$34="Moderado"),CONCATENATE("R5C",'Mapa final'!$O$34),"")</f>
        <v/>
      </c>
      <c r="X20" s="49" t="e">
        <f>IF(AND('Mapa final'!#REF!="Alta",'Mapa final'!#REF!="Moderado"),CONCATENATE("R5C",'Mapa final'!#REF!),"")</f>
        <v>#REF!</v>
      </c>
      <c r="Y20" s="49" t="e">
        <f>IF(AND('Mapa final'!#REF!="Alta",'Mapa final'!#REF!="Moderado"),CONCATENATE("R5C",'Mapa final'!#REF!),"")</f>
        <v>#REF!</v>
      </c>
      <c r="Z20" s="49" t="e">
        <f>IF(AND('Mapa final'!#REF!="Alta",'Mapa final'!#REF!="Moderado"),CONCATENATE("R5C",'Mapa final'!#REF!),"")</f>
        <v>#REF!</v>
      </c>
      <c r="AA20" s="50" t="e">
        <f>IF(AND('Mapa final'!#REF!="Alta",'Mapa final'!#REF!="Moderado"),CONCATENATE("R5C",'Mapa final'!#REF!),"")</f>
        <v>#REF!</v>
      </c>
      <c r="AB20" s="48" t="str">
        <f>IF(AND('Mapa final'!$Y$33="Alta",'Mapa final'!$AA$33="Mayor"),CONCATENATE("R5C",'Mapa final'!$O$33),"")</f>
        <v/>
      </c>
      <c r="AC20" s="49" t="str">
        <f>IF(AND('Mapa final'!$Y$34="Alta",'Mapa final'!$AA$34="Mayor"),CONCATENATE("R5C",'Mapa final'!$O$34),"")</f>
        <v/>
      </c>
      <c r="AD20" s="49" t="e">
        <f>IF(AND('Mapa final'!#REF!="Alta",'Mapa final'!#REF!="Mayor"),CONCATENATE("R5C",'Mapa final'!#REF!),"")</f>
        <v>#REF!</v>
      </c>
      <c r="AE20" s="49" t="e">
        <f>IF(AND('Mapa final'!#REF!="Alta",'Mapa final'!#REF!="Mayor"),CONCATENATE("R5C",'Mapa final'!#REF!),"")</f>
        <v>#REF!</v>
      </c>
      <c r="AF20" s="49" t="e">
        <f>IF(AND('Mapa final'!#REF!="Alta",'Mapa final'!#REF!="Mayor"),CONCATENATE("R5C",'Mapa final'!#REF!),"")</f>
        <v>#REF!</v>
      </c>
      <c r="AG20" s="50" t="e">
        <f>IF(AND('Mapa final'!#REF!="Alta",'Mapa final'!#REF!="Mayor"),CONCATENATE("R5C",'Mapa final'!#REF!),"")</f>
        <v>#REF!</v>
      </c>
      <c r="AH20" s="51" t="str">
        <f>IF(AND('Mapa final'!$Y$33="Alta",'Mapa final'!$AA$33="Catastrófico"),CONCATENATE("R5C",'Mapa final'!$O$33),"")</f>
        <v/>
      </c>
      <c r="AI20" s="52" t="str">
        <f>IF(AND('Mapa final'!$Y$34="Alta",'Mapa final'!$AA$34="Catastrófico"),CONCATENATE("R5C",'Mapa final'!$O$34),"")</f>
        <v/>
      </c>
      <c r="AJ20" s="52" t="e">
        <f>IF(AND('Mapa final'!#REF!="Alta",'Mapa final'!#REF!="Catastrófico"),CONCATENATE("R5C",'Mapa final'!#REF!),"")</f>
        <v>#REF!</v>
      </c>
      <c r="AK20" s="52" t="e">
        <f>IF(AND('Mapa final'!#REF!="Alta",'Mapa final'!#REF!="Catastrófico"),CONCATENATE("R5C",'Mapa final'!#REF!),"")</f>
        <v>#REF!</v>
      </c>
      <c r="AL20" s="52" t="e">
        <f>IF(AND('Mapa final'!#REF!="Alta",'Mapa final'!#REF!="Catastrófico"),CONCATENATE("R5C",'Mapa final'!#REF!),"")</f>
        <v>#REF!</v>
      </c>
      <c r="AM20" s="53" t="e">
        <f>IF(AND('Mapa final'!#REF!="Alta",'Mapa final'!#REF!="Catastrófico"),CONCATENATE("R5C",'Mapa final'!#REF!),"")</f>
        <v>#REF!</v>
      </c>
      <c r="AN20" s="79"/>
      <c r="AO20" s="435"/>
      <c r="AP20" s="436"/>
      <c r="AQ20" s="436"/>
      <c r="AR20" s="436"/>
      <c r="AS20" s="436"/>
      <c r="AT20" s="437"/>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row>
    <row r="21" spans="1:76" ht="15" customHeight="1" x14ac:dyDescent="0.25">
      <c r="A21" s="79"/>
      <c r="B21" s="346"/>
      <c r="C21" s="346"/>
      <c r="D21" s="347"/>
      <c r="E21" s="445"/>
      <c r="F21" s="444"/>
      <c r="G21" s="444"/>
      <c r="H21" s="444"/>
      <c r="I21" s="444"/>
      <c r="J21" s="63" t="str">
        <f>IF(AND('Mapa final'!$Y$35="Alta",'Mapa final'!$AA$35="Leve"),CONCATENATE("R6C",'Mapa final'!$O$35),"")</f>
        <v/>
      </c>
      <c r="K21" s="64" t="e">
        <f>IF(AND('Mapa final'!#REF!="Alta",'Mapa final'!#REF!="Leve"),CONCATENATE("R6C",'Mapa final'!#REF!),"")</f>
        <v>#REF!</v>
      </c>
      <c r="L21" s="64" t="e">
        <f>IF(AND('Mapa final'!#REF!="Alta",'Mapa final'!#REF!="Leve"),CONCATENATE("R6C",'Mapa final'!#REF!),"")</f>
        <v>#REF!</v>
      </c>
      <c r="M21" s="64" t="e">
        <f>IF(AND('Mapa final'!#REF!="Alta",'Mapa final'!#REF!="Leve"),CONCATENATE("R6C",'Mapa final'!#REF!),"")</f>
        <v>#REF!</v>
      </c>
      <c r="N21" s="64" t="e">
        <f>IF(AND('Mapa final'!#REF!="Alta",'Mapa final'!#REF!="Leve"),CONCATENATE("R6C",'Mapa final'!#REF!),"")</f>
        <v>#REF!</v>
      </c>
      <c r="O21" s="65" t="e">
        <f>IF(AND('Mapa final'!#REF!="Alta",'Mapa final'!#REF!="Leve"),CONCATENATE("R6C",'Mapa final'!#REF!),"")</f>
        <v>#REF!</v>
      </c>
      <c r="P21" s="63" t="str">
        <f>IF(AND('Mapa final'!$Y$35="Alta",'Mapa final'!$AA$35="Menor"),CONCATENATE("R6C",'Mapa final'!$O$35),"")</f>
        <v/>
      </c>
      <c r="Q21" s="64" t="e">
        <f>IF(AND('Mapa final'!#REF!="Alta",'Mapa final'!#REF!="Menor"),CONCATENATE("R6C",'Mapa final'!#REF!),"")</f>
        <v>#REF!</v>
      </c>
      <c r="R21" s="64" t="e">
        <f>IF(AND('Mapa final'!#REF!="Alta",'Mapa final'!#REF!="Menor"),CONCATENATE("R6C",'Mapa final'!#REF!),"")</f>
        <v>#REF!</v>
      </c>
      <c r="S21" s="64" t="e">
        <f>IF(AND('Mapa final'!#REF!="Alta",'Mapa final'!#REF!="Menor"),CONCATENATE("R6C",'Mapa final'!#REF!),"")</f>
        <v>#REF!</v>
      </c>
      <c r="T21" s="64" t="e">
        <f>IF(AND('Mapa final'!#REF!="Alta",'Mapa final'!#REF!="Menor"),CONCATENATE("R6C",'Mapa final'!#REF!),"")</f>
        <v>#REF!</v>
      </c>
      <c r="U21" s="65" t="e">
        <f>IF(AND('Mapa final'!#REF!="Alta",'Mapa final'!#REF!="Menor"),CONCATENATE("R6C",'Mapa final'!#REF!),"")</f>
        <v>#REF!</v>
      </c>
      <c r="V21" s="48" t="str">
        <f>IF(AND('Mapa final'!$Y$35="Alta",'Mapa final'!$AA$35="Moderado"),CONCATENATE("R6C",'Mapa final'!$O$35),"")</f>
        <v/>
      </c>
      <c r="W21" s="49" t="e">
        <f>IF(AND('Mapa final'!#REF!="Alta",'Mapa final'!#REF!="Moderado"),CONCATENATE("R6C",'Mapa final'!#REF!),"")</f>
        <v>#REF!</v>
      </c>
      <c r="X21" s="49" t="e">
        <f>IF(AND('Mapa final'!#REF!="Alta",'Mapa final'!#REF!="Moderado"),CONCATENATE("R6C",'Mapa final'!#REF!),"")</f>
        <v>#REF!</v>
      </c>
      <c r="Y21" s="49" t="e">
        <f>IF(AND('Mapa final'!#REF!="Alta",'Mapa final'!#REF!="Moderado"),CONCATENATE("R6C",'Mapa final'!#REF!),"")</f>
        <v>#REF!</v>
      </c>
      <c r="Z21" s="49" t="e">
        <f>IF(AND('Mapa final'!#REF!="Alta",'Mapa final'!#REF!="Moderado"),CONCATENATE("R6C",'Mapa final'!#REF!),"")</f>
        <v>#REF!</v>
      </c>
      <c r="AA21" s="50" t="e">
        <f>IF(AND('Mapa final'!#REF!="Alta",'Mapa final'!#REF!="Moderado"),CONCATENATE("R6C",'Mapa final'!#REF!),"")</f>
        <v>#REF!</v>
      </c>
      <c r="AB21" s="48" t="str">
        <f>IF(AND('Mapa final'!$Y$35="Alta",'Mapa final'!$AA$35="Mayor"),CONCATENATE("R6C",'Mapa final'!$O$35),"")</f>
        <v/>
      </c>
      <c r="AC21" s="49" t="e">
        <f>IF(AND('Mapa final'!#REF!="Alta",'Mapa final'!#REF!="Mayor"),CONCATENATE("R6C",'Mapa final'!#REF!),"")</f>
        <v>#REF!</v>
      </c>
      <c r="AD21" s="49" t="e">
        <f>IF(AND('Mapa final'!#REF!="Alta",'Mapa final'!#REF!="Mayor"),CONCATENATE("R6C",'Mapa final'!#REF!),"")</f>
        <v>#REF!</v>
      </c>
      <c r="AE21" s="49" t="e">
        <f>IF(AND('Mapa final'!#REF!="Alta",'Mapa final'!#REF!="Mayor"),CONCATENATE("R6C",'Mapa final'!#REF!),"")</f>
        <v>#REF!</v>
      </c>
      <c r="AF21" s="49" t="e">
        <f>IF(AND('Mapa final'!#REF!="Alta",'Mapa final'!#REF!="Mayor"),CONCATENATE("R6C",'Mapa final'!#REF!),"")</f>
        <v>#REF!</v>
      </c>
      <c r="AG21" s="50" t="e">
        <f>IF(AND('Mapa final'!#REF!="Alta",'Mapa final'!#REF!="Mayor"),CONCATENATE("R6C",'Mapa final'!#REF!),"")</f>
        <v>#REF!</v>
      </c>
      <c r="AH21" s="51" t="str">
        <f>IF(AND('Mapa final'!$Y$35="Alta",'Mapa final'!$AA$35="Catastrófico"),CONCATENATE("R6C",'Mapa final'!$O$35),"")</f>
        <v/>
      </c>
      <c r="AI21" s="52" t="e">
        <f>IF(AND('Mapa final'!#REF!="Alta",'Mapa final'!#REF!="Catastrófico"),CONCATENATE("R6C",'Mapa final'!#REF!),"")</f>
        <v>#REF!</v>
      </c>
      <c r="AJ21" s="52" t="e">
        <f>IF(AND('Mapa final'!#REF!="Alta",'Mapa final'!#REF!="Catastrófico"),CONCATENATE("R6C",'Mapa final'!#REF!),"")</f>
        <v>#REF!</v>
      </c>
      <c r="AK21" s="52" t="e">
        <f>IF(AND('Mapa final'!#REF!="Alta",'Mapa final'!#REF!="Catastrófico"),CONCATENATE("R6C",'Mapa final'!#REF!),"")</f>
        <v>#REF!</v>
      </c>
      <c r="AL21" s="52" t="e">
        <f>IF(AND('Mapa final'!#REF!="Alta",'Mapa final'!#REF!="Catastrófico"),CONCATENATE("R6C",'Mapa final'!#REF!),"")</f>
        <v>#REF!</v>
      </c>
      <c r="AM21" s="53" t="e">
        <f>IF(AND('Mapa final'!#REF!="Alta",'Mapa final'!#REF!="Catastrófico"),CONCATENATE("R6C",'Mapa final'!#REF!),"")</f>
        <v>#REF!</v>
      </c>
      <c r="AN21" s="79"/>
      <c r="AO21" s="435"/>
      <c r="AP21" s="436"/>
      <c r="AQ21" s="436"/>
      <c r="AR21" s="436"/>
      <c r="AS21" s="436"/>
      <c r="AT21" s="437"/>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row>
    <row r="22" spans="1:76" ht="15" customHeight="1" x14ac:dyDescent="0.25">
      <c r="A22" s="79"/>
      <c r="B22" s="346"/>
      <c r="C22" s="346"/>
      <c r="D22" s="347"/>
      <c r="E22" s="445"/>
      <c r="F22" s="444"/>
      <c r="G22" s="444"/>
      <c r="H22" s="444"/>
      <c r="I22" s="444"/>
      <c r="J22" s="63" t="str">
        <f>IF(AND('Mapa final'!$Y$41="Alta",'Mapa final'!$AA$41="Leve"),CONCATENATE("R7C",'Mapa final'!$O$41),"")</f>
        <v/>
      </c>
      <c r="K22" s="64" t="str">
        <f>IF(AND('Mapa final'!$Y$42="Alta",'Mapa final'!$AA$42="Leve"),CONCATENATE("R7C",'Mapa final'!$O$42),"")</f>
        <v/>
      </c>
      <c r="L22" s="64" t="e">
        <f>IF(AND('Mapa final'!#REF!="Alta",'Mapa final'!#REF!="Leve"),CONCATENATE("R7C",'Mapa final'!#REF!),"")</f>
        <v>#REF!</v>
      </c>
      <c r="M22" s="64" t="e">
        <f>IF(AND('Mapa final'!#REF!="Alta",'Mapa final'!#REF!="Leve"),CONCATENATE("R7C",'Mapa final'!#REF!),"")</f>
        <v>#REF!</v>
      </c>
      <c r="N22" s="64" t="e">
        <f>IF(AND('Mapa final'!#REF!="Alta",'Mapa final'!#REF!="Leve"),CONCATENATE("R7C",'Mapa final'!#REF!),"")</f>
        <v>#REF!</v>
      </c>
      <c r="O22" s="65" t="e">
        <f>IF(AND('Mapa final'!#REF!="Alta",'Mapa final'!#REF!="Leve"),CONCATENATE("R7C",'Mapa final'!#REF!),"")</f>
        <v>#REF!</v>
      </c>
      <c r="P22" s="63" t="str">
        <f>IF(AND('Mapa final'!$Y$41="Alta",'Mapa final'!$AA$41="Menor"),CONCATENATE("R7C",'Mapa final'!$O$41),"")</f>
        <v/>
      </c>
      <c r="Q22" s="64" t="str">
        <f>IF(AND('Mapa final'!$Y$42="Alta",'Mapa final'!$AA$42="Menor"),CONCATENATE("R7C",'Mapa final'!$O$42),"")</f>
        <v/>
      </c>
      <c r="R22" s="64" t="e">
        <f>IF(AND('Mapa final'!#REF!="Alta",'Mapa final'!#REF!="Menor"),CONCATENATE("R7C",'Mapa final'!#REF!),"")</f>
        <v>#REF!</v>
      </c>
      <c r="S22" s="64" t="e">
        <f>IF(AND('Mapa final'!#REF!="Alta",'Mapa final'!#REF!="Menor"),CONCATENATE("R7C",'Mapa final'!#REF!),"")</f>
        <v>#REF!</v>
      </c>
      <c r="T22" s="64" t="e">
        <f>IF(AND('Mapa final'!#REF!="Alta",'Mapa final'!#REF!="Menor"),CONCATENATE("R7C",'Mapa final'!#REF!),"")</f>
        <v>#REF!</v>
      </c>
      <c r="U22" s="65" t="e">
        <f>IF(AND('Mapa final'!#REF!="Alta",'Mapa final'!#REF!="Menor"),CONCATENATE("R7C",'Mapa final'!#REF!),"")</f>
        <v>#REF!</v>
      </c>
      <c r="V22" s="48" t="str">
        <f>IF(AND('Mapa final'!$Y$41="Alta",'Mapa final'!$AA$41="Moderado"),CONCATENATE("R7C",'Mapa final'!$O$41),"")</f>
        <v/>
      </c>
      <c r="W22" s="49" t="str">
        <f>IF(AND('Mapa final'!$Y$42="Alta",'Mapa final'!$AA$42="Moderado"),CONCATENATE("R7C",'Mapa final'!$O$42),"")</f>
        <v/>
      </c>
      <c r="X22" s="49" t="e">
        <f>IF(AND('Mapa final'!#REF!="Alta",'Mapa final'!#REF!="Moderado"),CONCATENATE("R7C",'Mapa final'!#REF!),"")</f>
        <v>#REF!</v>
      </c>
      <c r="Y22" s="49" t="e">
        <f>IF(AND('Mapa final'!#REF!="Alta",'Mapa final'!#REF!="Moderado"),CONCATENATE("R7C",'Mapa final'!#REF!),"")</f>
        <v>#REF!</v>
      </c>
      <c r="Z22" s="49" t="e">
        <f>IF(AND('Mapa final'!#REF!="Alta",'Mapa final'!#REF!="Moderado"),CONCATENATE("R7C",'Mapa final'!#REF!),"")</f>
        <v>#REF!</v>
      </c>
      <c r="AA22" s="50" t="e">
        <f>IF(AND('Mapa final'!#REF!="Alta",'Mapa final'!#REF!="Moderado"),CONCATENATE("R7C",'Mapa final'!#REF!),"")</f>
        <v>#REF!</v>
      </c>
      <c r="AB22" s="48" t="str">
        <f>IF(AND('Mapa final'!$Y$41="Alta",'Mapa final'!$AA$41="Mayor"),CONCATENATE("R7C",'Mapa final'!$O$41),"")</f>
        <v/>
      </c>
      <c r="AC22" s="49" t="str">
        <f>IF(AND('Mapa final'!$Y$42="Alta",'Mapa final'!$AA$42="Mayor"),CONCATENATE("R7C",'Mapa final'!$O$42),"")</f>
        <v/>
      </c>
      <c r="AD22" s="49" t="e">
        <f>IF(AND('Mapa final'!#REF!="Alta",'Mapa final'!#REF!="Mayor"),CONCATENATE("R7C",'Mapa final'!#REF!),"")</f>
        <v>#REF!</v>
      </c>
      <c r="AE22" s="49" t="e">
        <f>IF(AND('Mapa final'!#REF!="Alta",'Mapa final'!#REF!="Mayor"),CONCATENATE("R7C",'Mapa final'!#REF!),"")</f>
        <v>#REF!</v>
      </c>
      <c r="AF22" s="49" t="e">
        <f>IF(AND('Mapa final'!#REF!="Alta",'Mapa final'!#REF!="Mayor"),CONCATENATE("R7C",'Mapa final'!#REF!),"")</f>
        <v>#REF!</v>
      </c>
      <c r="AG22" s="50" t="e">
        <f>IF(AND('Mapa final'!#REF!="Alta",'Mapa final'!#REF!="Mayor"),CONCATENATE("R7C",'Mapa final'!#REF!),"")</f>
        <v>#REF!</v>
      </c>
      <c r="AH22" s="51" t="str">
        <f>IF(AND('Mapa final'!$Y$41="Alta",'Mapa final'!$AA$41="Catastrófico"),CONCATENATE("R7C",'Mapa final'!$O$41),"")</f>
        <v/>
      </c>
      <c r="AI22" s="52" t="str">
        <f>IF(AND('Mapa final'!$Y$42="Alta",'Mapa final'!$AA$42="Catastrófico"),CONCATENATE("R7C",'Mapa final'!$O$42),"")</f>
        <v/>
      </c>
      <c r="AJ22" s="52" t="e">
        <f>IF(AND('Mapa final'!#REF!="Alta",'Mapa final'!#REF!="Catastrófico"),CONCATENATE("R7C",'Mapa final'!#REF!),"")</f>
        <v>#REF!</v>
      </c>
      <c r="AK22" s="52" t="e">
        <f>IF(AND('Mapa final'!#REF!="Alta",'Mapa final'!#REF!="Catastrófico"),CONCATENATE("R7C",'Mapa final'!#REF!),"")</f>
        <v>#REF!</v>
      </c>
      <c r="AL22" s="52" t="e">
        <f>IF(AND('Mapa final'!#REF!="Alta",'Mapa final'!#REF!="Catastrófico"),CONCATENATE("R7C",'Mapa final'!#REF!),"")</f>
        <v>#REF!</v>
      </c>
      <c r="AM22" s="53" t="e">
        <f>IF(AND('Mapa final'!#REF!="Alta",'Mapa final'!#REF!="Catastrófico"),CONCATENATE("R7C",'Mapa final'!#REF!),"")</f>
        <v>#REF!</v>
      </c>
      <c r="AN22" s="79"/>
      <c r="AO22" s="435"/>
      <c r="AP22" s="436"/>
      <c r="AQ22" s="436"/>
      <c r="AR22" s="436"/>
      <c r="AS22" s="436"/>
      <c r="AT22" s="437"/>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row>
    <row r="23" spans="1:76" ht="15" customHeight="1" x14ac:dyDescent="0.25">
      <c r="A23" s="79"/>
      <c r="B23" s="346"/>
      <c r="C23" s="346"/>
      <c r="D23" s="347"/>
      <c r="E23" s="445"/>
      <c r="F23" s="444"/>
      <c r="G23" s="444"/>
      <c r="H23" s="444"/>
      <c r="I23" s="444"/>
      <c r="J23" s="63" t="str">
        <f>IF(AND('Mapa final'!$Y$43="Alta",'Mapa final'!$AA$43="Leve"),CONCATENATE("R8C",'Mapa final'!$O$43),"")</f>
        <v/>
      </c>
      <c r="K23" s="64" t="str">
        <f>IF(AND('Mapa final'!$Y$44="Alta",'Mapa final'!$AA$44="Leve"),CONCATENATE("R8C",'Mapa final'!$O$44),"")</f>
        <v/>
      </c>
      <c r="L23" s="64" t="str">
        <f>IF(AND('Mapa final'!$Y$45="Alta",'Mapa final'!$AA$45="Leve"),CONCATENATE("R8C",'Mapa final'!$O$45),"")</f>
        <v/>
      </c>
      <c r="M23" s="64" t="str">
        <f>IF(AND('Mapa final'!$Y$46="Alta",'Mapa final'!$AA$46="Leve"),CONCATENATE("R8C",'Mapa final'!$O$46),"")</f>
        <v/>
      </c>
      <c r="N23" s="64" t="str">
        <f>IF(AND('Mapa final'!$Y$47="Alta",'Mapa final'!$AA$47="Leve"),CONCATENATE("R8C",'Mapa final'!$O$47),"")</f>
        <v/>
      </c>
      <c r="O23" s="65" t="str">
        <f>IF(AND('Mapa final'!$Y$48="Alta",'Mapa final'!$AA$48="Leve"),CONCATENATE("R8C",'Mapa final'!$O$48),"")</f>
        <v/>
      </c>
      <c r="P23" s="63" t="str">
        <f>IF(AND('Mapa final'!$Y$43="Alta",'Mapa final'!$AA$43="Menor"),CONCATENATE("R8C",'Mapa final'!$O$43),"")</f>
        <v/>
      </c>
      <c r="Q23" s="64" t="str">
        <f>IF(AND('Mapa final'!$Y$44="Alta",'Mapa final'!$AA$44="Menor"),CONCATENATE("R8C",'Mapa final'!$O$44),"")</f>
        <v/>
      </c>
      <c r="R23" s="64" t="str">
        <f>IF(AND('Mapa final'!$Y$45="Alta",'Mapa final'!$AA$45="Menor"),CONCATENATE("R8C",'Mapa final'!$O$45),"")</f>
        <v/>
      </c>
      <c r="S23" s="64" t="str">
        <f>IF(AND('Mapa final'!$Y$46="Alta",'Mapa final'!$AA$46="Menor"),CONCATENATE("R8C",'Mapa final'!$O$46),"")</f>
        <v/>
      </c>
      <c r="T23" s="64" t="str">
        <f>IF(AND('Mapa final'!$Y$47="Alta",'Mapa final'!$AA$47="Menor"),CONCATENATE("R8C",'Mapa final'!$O$47),"")</f>
        <v/>
      </c>
      <c r="U23" s="65" t="str">
        <f>IF(AND('Mapa final'!$Y$48="Alta",'Mapa final'!$AA$48="Menor"),CONCATENATE("R8C",'Mapa final'!$O$48),"")</f>
        <v/>
      </c>
      <c r="V23" s="48" t="str">
        <f>IF(AND('Mapa final'!$Y$43="Alta",'Mapa final'!$AA$43="Moderado"),CONCATENATE("R8C",'Mapa final'!$O$43),"")</f>
        <v/>
      </c>
      <c r="W23" s="49" t="str">
        <f>IF(AND('Mapa final'!$Y$44="Alta",'Mapa final'!$AA$44="Moderado"),CONCATENATE("R8C",'Mapa final'!$O$44),"")</f>
        <v/>
      </c>
      <c r="X23" s="49" t="str">
        <f>IF(AND('Mapa final'!$Y$45="Alta",'Mapa final'!$AA$45="Moderado"),CONCATENATE("R8C",'Mapa final'!$O$45),"")</f>
        <v/>
      </c>
      <c r="Y23" s="49" t="str">
        <f>IF(AND('Mapa final'!$Y$46="Alta",'Mapa final'!$AA$46="Moderado"),CONCATENATE("R8C",'Mapa final'!$O$46),"")</f>
        <v/>
      </c>
      <c r="Z23" s="49" t="str">
        <f>IF(AND('Mapa final'!$Y$47="Alta",'Mapa final'!$AA$47="Moderado"),CONCATENATE("R8C",'Mapa final'!$O$47),"")</f>
        <v/>
      </c>
      <c r="AA23" s="50" t="str">
        <f>IF(AND('Mapa final'!$Y$48="Alta",'Mapa final'!$AA$48="Moderado"),CONCATENATE("R8C",'Mapa final'!$O$48),"")</f>
        <v/>
      </c>
      <c r="AB23" s="48" t="str">
        <f>IF(AND('Mapa final'!$Y$43="Alta",'Mapa final'!$AA$43="Mayor"),CONCATENATE("R8C",'Mapa final'!$O$43),"")</f>
        <v/>
      </c>
      <c r="AC23" s="49" t="str">
        <f>IF(AND('Mapa final'!$Y$44="Alta",'Mapa final'!$AA$44="Mayor"),CONCATENATE("R8C",'Mapa final'!$O$44),"")</f>
        <v/>
      </c>
      <c r="AD23" s="49" t="str">
        <f>IF(AND('Mapa final'!$Y$45="Alta",'Mapa final'!$AA$45="Mayor"),CONCATENATE("R8C",'Mapa final'!$O$45),"")</f>
        <v/>
      </c>
      <c r="AE23" s="49" t="str">
        <f>IF(AND('Mapa final'!$Y$46="Alta",'Mapa final'!$AA$46="Mayor"),CONCATENATE("R8C",'Mapa final'!$O$46),"")</f>
        <v/>
      </c>
      <c r="AF23" s="49" t="str">
        <f>IF(AND('Mapa final'!$Y$47="Alta",'Mapa final'!$AA$47="Mayor"),CONCATENATE("R8C",'Mapa final'!$O$47),"")</f>
        <v/>
      </c>
      <c r="AG23" s="50" t="str">
        <f>IF(AND('Mapa final'!$Y$48="Alta",'Mapa final'!$AA$48="Mayor"),CONCATENATE("R8C",'Mapa final'!$O$48),"")</f>
        <v/>
      </c>
      <c r="AH23" s="51" t="str">
        <f>IF(AND('Mapa final'!$Y$43="Alta",'Mapa final'!$AA$43="Catastrófico"),CONCATENATE("R8C",'Mapa final'!$O$43),"")</f>
        <v/>
      </c>
      <c r="AI23" s="52" t="str">
        <f>IF(AND('Mapa final'!$Y$44="Alta",'Mapa final'!$AA$44="Catastrófico"),CONCATENATE("R8C",'Mapa final'!$O$44),"")</f>
        <v/>
      </c>
      <c r="AJ23" s="52" t="str">
        <f>IF(AND('Mapa final'!$Y$45="Alta",'Mapa final'!$AA$45="Catastrófico"),CONCATENATE("R8C",'Mapa final'!$O$45),"")</f>
        <v/>
      </c>
      <c r="AK23" s="52" t="str">
        <f>IF(AND('Mapa final'!$Y$46="Alta",'Mapa final'!$AA$46="Catastrófico"),CONCATENATE("R8C",'Mapa final'!$O$46),"")</f>
        <v/>
      </c>
      <c r="AL23" s="52" t="str">
        <f>IF(AND('Mapa final'!$Y$47="Alta",'Mapa final'!$AA$47="Catastrófico"),CONCATENATE("R8C",'Mapa final'!$O$47),"")</f>
        <v/>
      </c>
      <c r="AM23" s="53" t="str">
        <f>IF(AND('Mapa final'!$Y$48="Alta",'Mapa final'!$AA$48="Catastrófico"),CONCATENATE("R8C",'Mapa final'!$O$48),"")</f>
        <v/>
      </c>
      <c r="AN23" s="79"/>
      <c r="AO23" s="435"/>
      <c r="AP23" s="436"/>
      <c r="AQ23" s="436"/>
      <c r="AR23" s="436"/>
      <c r="AS23" s="436"/>
      <c r="AT23" s="437"/>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row>
    <row r="24" spans="1:76" ht="15" customHeight="1" x14ac:dyDescent="0.25">
      <c r="A24" s="79"/>
      <c r="B24" s="346"/>
      <c r="C24" s="346"/>
      <c r="D24" s="347"/>
      <c r="E24" s="445"/>
      <c r="F24" s="444"/>
      <c r="G24" s="444"/>
      <c r="H24" s="444"/>
      <c r="I24" s="444"/>
      <c r="J24" s="63" t="str">
        <f>IF(AND('Mapa final'!$Y$49="Alta",'Mapa final'!$AA$49="Leve"),CONCATENATE("R9C",'Mapa final'!$O$49),"")</f>
        <v/>
      </c>
      <c r="K24" s="64" t="str">
        <f>IF(AND('Mapa final'!$Y$50="Alta",'Mapa final'!$AA$50="Leve"),CONCATENATE("R9C",'Mapa final'!$O$50),"")</f>
        <v/>
      </c>
      <c r="L24" s="64" t="str">
        <f>IF(AND('Mapa final'!$Y$51="Alta",'Mapa final'!$AA$51="Leve"),CONCATENATE("R9C",'Mapa final'!$O$51),"")</f>
        <v/>
      </c>
      <c r="M24" s="64" t="str">
        <f>IF(AND('Mapa final'!$Y$52="Alta",'Mapa final'!$AA$52="Leve"),CONCATENATE("R9C",'Mapa final'!$O$52),"")</f>
        <v/>
      </c>
      <c r="N24" s="64" t="str">
        <f>IF(AND('Mapa final'!$Y$53="Alta",'Mapa final'!$AA$53="Leve"),CONCATENATE("R9C",'Mapa final'!$O$53),"")</f>
        <v/>
      </c>
      <c r="O24" s="65" t="str">
        <f>IF(AND('Mapa final'!$Y$54="Alta",'Mapa final'!$AA$54="Leve"),CONCATENATE("R9C",'Mapa final'!$O$54),"")</f>
        <v/>
      </c>
      <c r="P24" s="63" t="str">
        <f>IF(AND('Mapa final'!$Y$49="Alta",'Mapa final'!$AA$49="Menor"),CONCATENATE("R9C",'Mapa final'!$O$49),"")</f>
        <v/>
      </c>
      <c r="Q24" s="64" t="str">
        <f>IF(AND('Mapa final'!$Y$50="Alta",'Mapa final'!$AA$50="Menor"),CONCATENATE("R9C",'Mapa final'!$O$50),"")</f>
        <v/>
      </c>
      <c r="R24" s="64" t="str">
        <f>IF(AND('Mapa final'!$Y$51="Alta",'Mapa final'!$AA$51="Menor"),CONCATENATE("R9C",'Mapa final'!$O$51),"")</f>
        <v/>
      </c>
      <c r="S24" s="64" t="str">
        <f>IF(AND('Mapa final'!$Y$52="Alta",'Mapa final'!$AA$52="Menor"),CONCATENATE("R9C",'Mapa final'!$O$52),"")</f>
        <v/>
      </c>
      <c r="T24" s="64" t="str">
        <f>IF(AND('Mapa final'!$Y$53="Alta",'Mapa final'!$AA$53="Menor"),CONCATENATE("R9C",'Mapa final'!$O$53),"")</f>
        <v/>
      </c>
      <c r="U24" s="65" t="str">
        <f>IF(AND('Mapa final'!$Y$54="Alta",'Mapa final'!$AA$54="Menor"),CONCATENATE("R9C",'Mapa final'!$O$54),"")</f>
        <v/>
      </c>
      <c r="V24" s="48" t="str">
        <f>IF(AND('Mapa final'!$Y$49="Alta",'Mapa final'!$AA$49="Moderado"),CONCATENATE("R9C",'Mapa final'!$O$49),"")</f>
        <v/>
      </c>
      <c r="W24" s="49" t="str">
        <f>IF(AND('Mapa final'!$Y$50="Alta",'Mapa final'!$AA$50="Moderado"),CONCATENATE("R9C",'Mapa final'!$O$50),"")</f>
        <v/>
      </c>
      <c r="X24" s="49" t="str">
        <f>IF(AND('Mapa final'!$Y$51="Alta",'Mapa final'!$AA$51="Moderado"),CONCATENATE("R9C",'Mapa final'!$O$51),"")</f>
        <v/>
      </c>
      <c r="Y24" s="49" t="str">
        <f>IF(AND('Mapa final'!$Y$52="Alta",'Mapa final'!$AA$52="Moderado"),CONCATENATE("R9C",'Mapa final'!$O$52),"")</f>
        <v/>
      </c>
      <c r="Z24" s="49" t="str">
        <f>IF(AND('Mapa final'!$Y$53="Alta",'Mapa final'!$AA$53="Moderado"),CONCATENATE("R9C",'Mapa final'!$O$53),"")</f>
        <v/>
      </c>
      <c r="AA24" s="50" t="str">
        <f>IF(AND('Mapa final'!$Y$54="Alta",'Mapa final'!$AA$54="Moderado"),CONCATENATE("R9C",'Mapa final'!$O$54),"")</f>
        <v/>
      </c>
      <c r="AB24" s="48" t="str">
        <f>IF(AND('Mapa final'!$Y$49="Alta",'Mapa final'!$AA$49="Mayor"),CONCATENATE("R9C",'Mapa final'!$O$49),"")</f>
        <v/>
      </c>
      <c r="AC24" s="49" t="str">
        <f>IF(AND('Mapa final'!$Y$50="Alta",'Mapa final'!$AA$50="Mayor"),CONCATENATE("R9C",'Mapa final'!$O$50),"")</f>
        <v/>
      </c>
      <c r="AD24" s="49" t="str">
        <f>IF(AND('Mapa final'!$Y$51="Alta",'Mapa final'!$AA$51="Mayor"),CONCATENATE("R9C",'Mapa final'!$O$51),"")</f>
        <v/>
      </c>
      <c r="AE24" s="49" t="str">
        <f>IF(AND('Mapa final'!$Y$52="Alta",'Mapa final'!$AA$52="Mayor"),CONCATENATE("R9C",'Mapa final'!$O$52),"")</f>
        <v/>
      </c>
      <c r="AF24" s="49" t="str">
        <f>IF(AND('Mapa final'!$Y$53="Alta",'Mapa final'!$AA$53="Mayor"),CONCATENATE("R9C",'Mapa final'!$O$53),"")</f>
        <v/>
      </c>
      <c r="AG24" s="50" t="str">
        <f>IF(AND('Mapa final'!$Y$54="Alta",'Mapa final'!$AA$54="Mayor"),CONCATENATE("R9C",'Mapa final'!$O$54),"")</f>
        <v/>
      </c>
      <c r="AH24" s="51" t="str">
        <f>IF(AND('Mapa final'!$Y$49="Alta",'Mapa final'!$AA$49="Catastrófico"),CONCATENATE("R9C",'Mapa final'!$O$49),"")</f>
        <v/>
      </c>
      <c r="AI24" s="52" t="str">
        <f>IF(AND('Mapa final'!$Y$50="Alta",'Mapa final'!$AA$50="Catastrófico"),CONCATENATE("R9C",'Mapa final'!$O$50),"")</f>
        <v/>
      </c>
      <c r="AJ24" s="52" t="str">
        <f>IF(AND('Mapa final'!$Y$51="Alta",'Mapa final'!$AA$51="Catastrófico"),CONCATENATE("R9C",'Mapa final'!$O$51),"")</f>
        <v/>
      </c>
      <c r="AK24" s="52" t="str">
        <f>IF(AND('Mapa final'!$Y$52="Alta",'Mapa final'!$AA$52="Catastrófico"),CONCATENATE("R9C",'Mapa final'!$O$52),"")</f>
        <v/>
      </c>
      <c r="AL24" s="52" t="str">
        <f>IF(AND('Mapa final'!$Y$53="Alta",'Mapa final'!$AA$53="Catastrófico"),CONCATENATE("R9C",'Mapa final'!$O$53),"")</f>
        <v/>
      </c>
      <c r="AM24" s="53" t="str">
        <f>IF(AND('Mapa final'!$Y$54="Alta",'Mapa final'!$AA$54="Catastrófico"),CONCATENATE("R9C",'Mapa final'!$O$54),"")</f>
        <v/>
      </c>
      <c r="AN24" s="79"/>
      <c r="AO24" s="435"/>
      <c r="AP24" s="436"/>
      <c r="AQ24" s="436"/>
      <c r="AR24" s="436"/>
      <c r="AS24" s="436"/>
      <c r="AT24" s="437"/>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row>
    <row r="25" spans="1:76" ht="15.75" customHeight="1" thickBot="1" x14ac:dyDescent="0.3">
      <c r="A25" s="79"/>
      <c r="B25" s="346"/>
      <c r="C25" s="346"/>
      <c r="D25" s="347"/>
      <c r="E25" s="446"/>
      <c r="F25" s="447"/>
      <c r="G25" s="447"/>
      <c r="H25" s="447"/>
      <c r="I25" s="447"/>
      <c r="J25" s="66" t="str">
        <f>IF(AND('Mapa final'!$Y$55="Alta",'Mapa final'!$AA$55="Leve"),CONCATENATE("R10C",'Mapa final'!$O$55),"")</f>
        <v/>
      </c>
      <c r="K25" s="67" t="str">
        <f>IF(AND('Mapa final'!$Y$56="Alta",'Mapa final'!$AA$56="Leve"),CONCATENATE("R10C",'Mapa final'!$O$56),"")</f>
        <v/>
      </c>
      <c r="L25" s="67" t="str">
        <f>IF(AND('Mapa final'!$Y$57="Alta",'Mapa final'!$AA$57="Leve"),CONCATENATE("R10C",'Mapa final'!$O$57),"")</f>
        <v/>
      </c>
      <c r="M25" s="67" t="str">
        <f>IF(AND('Mapa final'!$Y$58="Alta",'Mapa final'!$AA$58="Leve"),CONCATENATE("R10C",'Mapa final'!$O$58),"")</f>
        <v/>
      </c>
      <c r="N25" s="67" t="str">
        <f>IF(AND('Mapa final'!$Y$59="Alta",'Mapa final'!$AA$59="Leve"),CONCATENATE("R10C",'Mapa final'!$O$59),"")</f>
        <v/>
      </c>
      <c r="O25" s="68" t="str">
        <f>IF(AND('Mapa final'!$Y$60="Alta",'Mapa final'!$AA$60="Leve"),CONCATENATE("R10C",'Mapa final'!$O$60),"")</f>
        <v/>
      </c>
      <c r="P25" s="66" t="str">
        <f>IF(AND('Mapa final'!$Y$55="Alta",'Mapa final'!$AA$55="Menor"),CONCATENATE("R10C",'Mapa final'!$O$55),"")</f>
        <v/>
      </c>
      <c r="Q25" s="67" t="str">
        <f>IF(AND('Mapa final'!$Y$56="Alta",'Mapa final'!$AA$56="Menor"),CONCATENATE("R10C",'Mapa final'!$O$56),"")</f>
        <v/>
      </c>
      <c r="R25" s="67" t="str">
        <f>IF(AND('Mapa final'!$Y$57="Alta",'Mapa final'!$AA$57="Menor"),CONCATENATE("R10C",'Mapa final'!$O$57),"")</f>
        <v/>
      </c>
      <c r="S25" s="67" t="str">
        <f>IF(AND('Mapa final'!$Y$58="Alta",'Mapa final'!$AA$58="Menor"),CONCATENATE("R10C",'Mapa final'!$O$58),"")</f>
        <v/>
      </c>
      <c r="T25" s="67" t="str">
        <f>IF(AND('Mapa final'!$Y$59="Alta",'Mapa final'!$AA$59="Menor"),CONCATENATE("R10C",'Mapa final'!$O$59),"")</f>
        <v/>
      </c>
      <c r="U25" s="68" t="str">
        <f>IF(AND('Mapa final'!$Y$60="Alta",'Mapa final'!$AA$60="Menor"),CONCATENATE("R10C",'Mapa final'!$O$60),"")</f>
        <v/>
      </c>
      <c r="V25" s="54" t="str">
        <f>IF(AND('Mapa final'!$Y$55="Alta",'Mapa final'!$AA$55="Moderado"),CONCATENATE("R10C",'Mapa final'!$O$55),"")</f>
        <v/>
      </c>
      <c r="W25" s="55" t="str">
        <f>IF(AND('Mapa final'!$Y$56="Alta",'Mapa final'!$AA$56="Moderado"),CONCATENATE("R10C",'Mapa final'!$O$56),"")</f>
        <v/>
      </c>
      <c r="X25" s="55" t="str">
        <f>IF(AND('Mapa final'!$Y$57="Alta",'Mapa final'!$AA$57="Moderado"),CONCATENATE("R10C",'Mapa final'!$O$57),"")</f>
        <v/>
      </c>
      <c r="Y25" s="55" t="str">
        <f>IF(AND('Mapa final'!$Y$58="Alta",'Mapa final'!$AA$58="Moderado"),CONCATENATE("R10C",'Mapa final'!$O$58),"")</f>
        <v/>
      </c>
      <c r="Z25" s="55" t="str">
        <f>IF(AND('Mapa final'!$Y$59="Alta",'Mapa final'!$AA$59="Moderado"),CONCATENATE("R10C",'Mapa final'!$O$59),"")</f>
        <v/>
      </c>
      <c r="AA25" s="56" t="str">
        <f>IF(AND('Mapa final'!$Y$60="Alta",'Mapa final'!$AA$60="Moderado"),CONCATENATE("R10C",'Mapa final'!$O$60),"")</f>
        <v/>
      </c>
      <c r="AB25" s="54" t="str">
        <f>IF(AND('Mapa final'!$Y$55="Alta",'Mapa final'!$AA$55="Mayor"),CONCATENATE("R10C",'Mapa final'!$O$55),"")</f>
        <v/>
      </c>
      <c r="AC25" s="55" t="str">
        <f>IF(AND('Mapa final'!$Y$56="Alta",'Mapa final'!$AA$56="Mayor"),CONCATENATE("R10C",'Mapa final'!$O$56),"")</f>
        <v/>
      </c>
      <c r="AD25" s="55" t="str">
        <f>IF(AND('Mapa final'!$Y$57="Alta",'Mapa final'!$AA$57="Mayor"),CONCATENATE("R10C",'Mapa final'!$O$57),"")</f>
        <v/>
      </c>
      <c r="AE25" s="55" t="str">
        <f>IF(AND('Mapa final'!$Y$58="Alta",'Mapa final'!$AA$58="Mayor"),CONCATENATE("R10C",'Mapa final'!$O$58),"")</f>
        <v/>
      </c>
      <c r="AF25" s="55" t="str">
        <f>IF(AND('Mapa final'!$Y$59="Alta",'Mapa final'!$AA$59="Mayor"),CONCATENATE("R10C",'Mapa final'!$O$59),"")</f>
        <v/>
      </c>
      <c r="AG25" s="56" t="str">
        <f>IF(AND('Mapa final'!$Y$60="Alta",'Mapa final'!$AA$60="Mayor"),CONCATENATE("R10C",'Mapa final'!$O$60),"")</f>
        <v/>
      </c>
      <c r="AH25" s="57" t="str">
        <f>IF(AND('Mapa final'!$Y$55="Alta",'Mapa final'!$AA$55="Catastrófico"),CONCATENATE("R10C",'Mapa final'!$O$55),"")</f>
        <v/>
      </c>
      <c r="AI25" s="58" t="str">
        <f>IF(AND('Mapa final'!$Y$56="Alta",'Mapa final'!$AA$56="Catastrófico"),CONCATENATE("R10C",'Mapa final'!$O$56),"")</f>
        <v/>
      </c>
      <c r="AJ25" s="58" t="str">
        <f>IF(AND('Mapa final'!$Y$57="Alta",'Mapa final'!$AA$57="Catastrófico"),CONCATENATE("R10C",'Mapa final'!$O$57),"")</f>
        <v/>
      </c>
      <c r="AK25" s="58" t="str">
        <f>IF(AND('Mapa final'!$Y$58="Alta",'Mapa final'!$AA$58="Catastrófico"),CONCATENATE("R10C",'Mapa final'!$O$58),"")</f>
        <v/>
      </c>
      <c r="AL25" s="58" t="str">
        <f>IF(AND('Mapa final'!$Y$59="Alta",'Mapa final'!$AA$59="Catastrófico"),CONCATENATE("R10C",'Mapa final'!$O$59),"")</f>
        <v/>
      </c>
      <c r="AM25" s="59" t="str">
        <f>IF(AND('Mapa final'!$Y$60="Alta",'Mapa final'!$AA$60="Catastrófico"),CONCATENATE("R10C",'Mapa final'!$O$60),"")</f>
        <v/>
      </c>
      <c r="AN25" s="79"/>
      <c r="AO25" s="438"/>
      <c r="AP25" s="439"/>
      <c r="AQ25" s="439"/>
      <c r="AR25" s="439"/>
      <c r="AS25" s="439"/>
      <c r="AT25" s="440"/>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row>
    <row r="26" spans="1:76" ht="15" customHeight="1" x14ac:dyDescent="0.25">
      <c r="A26" s="79"/>
      <c r="B26" s="346"/>
      <c r="C26" s="346"/>
      <c r="D26" s="347"/>
      <c r="E26" s="441" t="s">
        <v>96</v>
      </c>
      <c r="F26" s="442"/>
      <c r="G26" s="442"/>
      <c r="H26" s="442"/>
      <c r="I26" s="459"/>
      <c r="J26" s="60" t="str">
        <f>IF(AND('Mapa final'!$Y$24="Media",'Mapa final'!$AA$24="Leve"),CONCATENATE("R1C",'Mapa final'!$O$24),"")</f>
        <v/>
      </c>
      <c r="K26" s="61" t="str">
        <f>IF(AND('Mapa final'!$Y$25="Media",'Mapa final'!$AA$25="Leve"),CONCATENATE("R1C",'Mapa final'!$O$25),"")</f>
        <v/>
      </c>
      <c r="L26" s="61" t="str">
        <f>IF(AND('Mapa final'!$Y$26="Media",'Mapa final'!$AA$26="Leve"),CONCATENATE("R1C",'Mapa final'!$O$26),"")</f>
        <v/>
      </c>
      <c r="M26" s="61" t="e">
        <f>IF(AND('Mapa final'!#REF!="Media",'Mapa final'!#REF!="Leve"),CONCATENATE("R1C",'Mapa final'!#REF!),"")</f>
        <v>#REF!</v>
      </c>
      <c r="N26" s="61" t="e">
        <f>IF(AND('Mapa final'!#REF!="Media",'Mapa final'!#REF!="Leve"),CONCATENATE("R1C",'Mapa final'!#REF!),"")</f>
        <v>#REF!</v>
      </c>
      <c r="O26" s="62" t="e">
        <f>IF(AND('Mapa final'!#REF!="Media",'Mapa final'!#REF!="Leve"),CONCATENATE("R1C",'Mapa final'!#REF!),"")</f>
        <v>#REF!</v>
      </c>
      <c r="P26" s="60" t="str">
        <f>IF(AND('Mapa final'!$Y$24="Media",'Mapa final'!$AA$24="Menor"),CONCATENATE("R1C",'Mapa final'!$O$24),"")</f>
        <v/>
      </c>
      <c r="Q26" s="61" t="str">
        <f>IF(AND('Mapa final'!$Y$25="Media",'Mapa final'!$AA$25="Menor"),CONCATENATE("R1C",'Mapa final'!$O$25),"")</f>
        <v/>
      </c>
      <c r="R26" s="61" t="str">
        <f>IF(AND('Mapa final'!$Y$26="Media",'Mapa final'!$AA$26="Menor"),CONCATENATE("R1C",'Mapa final'!$O$26),"")</f>
        <v/>
      </c>
      <c r="S26" s="61" t="e">
        <f>IF(AND('Mapa final'!#REF!="Media",'Mapa final'!#REF!="Menor"),CONCATENATE("R1C",'Mapa final'!#REF!),"")</f>
        <v>#REF!</v>
      </c>
      <c r="T26" s="61" t="e">
        <f>IF(AND('Mapa final'!#REF!="Media",'Mapa final'!#REF!="Menor"),CONCATENATE("R1C",'Mapa final'!#REF!),"")</f>
        <v>#REF!</v>
      </c>
      <c r="U26" s="62" t="e">
        <f>IF(AND('Mapa final'!#REF!="Media",'Mapa final'!#REF!="Menor"),CONCATENATE("R1C",'Mapa final'!#REF!),"")</f>
        <v>#REF!</v>
      </c>
      <c r="V26" s="60" t="str">
        <f>IF(AND('Mapa final'!$Y$24="Media",'Mapa final'!$AA$24="Moderado"),CONCATENATE("R1C",'Mapa final'!$O$24),"")</f>
        <v/>
      </c>
      <c r="W26" s="61" t="str">
        <f>IF(AND('Mapa final'!$Y$25="Media",'Mapa final'!$AA$25="Moderado"),CONCATENATE("R1C",'Mapa final'!$O$25),"")</f>
        <v/>
      </c>
      <c r="X26" s="61" t="str">
        <f>IF(AND('Mapa final'!$Y$26="Media",'Mapa final'!$AA$26="Moderado"),CONCATENATE("R1C",'Mapa final'!$O$26),"")</f>
        <v/>
      </c>
      <c r="Y26" s="61" t="e">
        <f>IF(AND('Mapa final'!#REF!="Media",'Mapa final'!#REF!="Moderado"),CONCATENATE("R1C",'Mapa final'!#REF!),"")</f>
        <v>#REF!</v>
      </c>
      <c r="Z26" s="61" t="e">
        <f>IF(AND('Mapa final'!#REF!="Media",'Mapa final'!#REF!="Moderado"),CONCATENATE("R1C",'Mapa final'!#REF!),"")</f>
        <v>#REF!</v>
      </c>
      <c r="AA26" s="62" t="e">
        <f>IF(AND('Mapa final'!#REF!="Media",'Mapa final'!#REF!="Moderado"),CONCATENATE("R1C",'Mapa final'!#REF!),"")</f>
        <v>#REF!</v>
      </c>
      <c r="AB26" s="42" t="str">
        <f>IF(AND('Mapa final'!$Y$24="Media",'Mapa final'!$AA$24="Mayor"),CONCATENATE("R1C",'Mapa final'!$O$24),"")</f>
        <v/>
      </c>
      <c r="AC26" s="43" t="str">
        <f>IF(AND('Mapa final'!$Y$25="Media",'Mapa final'!$AA$25="Mayor"),CONCATENATE("R1C",'Mapa final'!$O$25),"")</f>
        <v/>
      </c>
      <c r="AD26" s="43" t="str">
        <f>IF(AND('Mapa final'!$Y$26="Media",'Mapa final'!$AA$26="Mayor"),CONCATENATE("R1C",'Mapa final'!$O$26),"")</f>
        <v/>
      </c>
      <c r="AE26" s="43" t="e">
        <f>IF(AND('Mapa final'!#REF!="Media",'Mapa final'!#REF!="Mayor"),CONCATENATE("R1C",'Mapa final'!#REF!),"")</f>
        <v>#REF!</v>
      </c>
      <c r="AF26" s="43" t="e">
        <f>IF(AND('Mapa final'!#REF!="Media",'Mapa final'!#REF!="Mayor"),CONCATENATE("R1C",'Mapa final'!#REF!),"")</f>
        <v>#REF!</v>
      </c>
      <c r="AG26" s="44" t="e">
        <f>IF(AND('Mapa final'!#REF!="Media",'Mapa final'!#REF!="Mayor"),CONCATENATE("R1C",'Mapa final'!#REF!),"")</f>
        <v>#REF!</v>
      </c>
      <c r="AH26" s="45" t="str">
        <f>IF(AND('Mapa final'!$Y$24="Media",'Mapa final'!$AA$24="Catastrófico"),CONCATENATE("R1C",'Mapa final'!$O$24),"")</f>
        <v/>
      </c>
      <c r="AI26" s="46" t="str">
        <f>IF(AND('Mapa final'!$Y$25="Media",'Mapa final'!$AA$25="Catastrófico"),CONCATENATE("R1C",'Mapa final'!$O$25),"")</f>
        <v/>
      </c>
      <c r="AJ26" s="46" t="str">
        <f>IF(AND('Mapa final'!$Y$26="Media",'Mapa final'!$AA$26="Catastrófico"),CONCATENATE("R1C",'Mapa final'!$O$26),"")</f>
        <v/>
      </c>
      <c r="AK26" s="46" t="e">
        <f>IF(AND('Mapa final'!#REF!="Media",'Mapa final'!#REF!="Catastrófico"),CONCATENATE("R1C",'Mapa final'!#REF!),"")</f>
        <v>#REF!</v>
      </c>
      <c r="AL26" s="46" t="e">
        <f>IF(AND('Mapa final'!#REF!="Media",'Mapa final'!#REF!="Catastrófico"),CONCATENATE("R1C",'Mapa final'!#REF!),"")</f>
        <v>#REF!</v>
      </c>
      <c r="AM26" s="47" t="e">
        <f>IF(AND('Mapa final'!#REF!="Media",'Mapa final'!#REF!="Catastrófico"),CONCATENATE("R1C",'Mapa final'!#REF!),"")</f>
        <v>#REF!</v>
      </c>
      <c r="AN26" s="79"/>
      <c r="AO26" s="471" t="s">
        <v>97</v>
      </c>
      <c r="AP26" s="472"/>
      <c r="AQ26" s="472"/>
      <c r="AR26" s="472"/>
      <c r="AS26" s="472"/>
      <c r="AT26" s="473"/>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row>
    <row r="27" spans="1:76" ht="15" customHeight="1" x14ac:dyDescent="0.25">
      <c r="A27" s="79"/>
      <c r="B27" s="346"/>
      <c r="C27" s="346"/>
      <c r="D27" s="347"/>
      <c r="E27" s="443"/>
      <c r="F27" s="444"/>
      <c r="G27" s="444"/>
      <c r="H27" s="444"/>
      <c r="I27" s="460"/>
      <c r="J27" s="63" t="str">
        <f>IF(AND('Mapa final'!$Y$27="Media",'Mapa final'!$AA$27="Leve"),CONCATENATE("R2C",'Mapa final'!$O$27),"")</f>
        <v/>
      </c>
      <c r="K27" s="64" t="str">
        <f>IF(AND('Mapa final'!$Y$28="Media",'Mapa final'!$AA$28="Leve"),CONCATENATE("R2C",'Mapa final'!$O$28),"")</f>
        <v/>
      </c>
      <c r="L27" s="64" t="str">
        <f>IF(AND('Mapa final'!$Y$29="Media",'Mapa final'!$AA$29="Leve"),CONCATENATE("R2C",'Mapa final'!$O$29),"")</f>
        <v/>
      </c>
      <c r="M27" s="64" t="e">
        <f>IF(AND('Mapa final'!#REF!="Media",'Mapa final'!#REF!="Leve"),CONCATENATE("R2C",'Mapa final'!#REF!),"")</f>
        <v>#REF!</v>
      </c>
      <c r="N27" s="64" t="e">
        <f>IF(AND('Mapa final'!#REF!="Media",'Mapa final'!#REF!="Leve"),CONCATENATE("R2C",'Mapa final'!#REF!),"")</f>
        <v>#REF!</v>
      </c>
      <c r="O27" s="65" t="e">
        <f>IF(AND('Mapa final'!#REF!="Media",'Mapa final'!#REF!="Leve"),CONCATENATE("R2C",'Mapa final'!#REF!),"")</f>
        <v>#REF!</v>
      </c>
      <c r="P27" s="63" t="str">
        <f>IF(AND('Mapa final'!$Y$27="Media",'Mapa final'!$AA$27="Menor"),CONCATENATE("R2C",'Mapa final'!$O$27),"")</f>
        <v/>
      </c>
      <c r="Q27" s="64" t="str">
        <f>IF(AND('Mapa final'!$Y$28="Media",'Mapa final'!$AA$28="Menor"),CONCATENATE("R2C",'Mapa final'!$O$28),"")</f>
        <v/>
      </c>
      <c r="R27" s="64" t="str">
        <f>IF(AND('Mapa final'!$Y$29="Media",'Mapa final'!$AA$29="Menor"),CONCATENATE("R2C",'Mapa final'!$O$29),"")</f>
        <v/>
      </c>
      <c r="S27" s="64" t="e">
        <f>IF(AND('Mapa final'!#REF!="Media",'Mapa final'!#REF!="Menor"),CONCATENATE("R2C",'Mapa final'!#REF!),"")</f>
        <v>#REF!</v>
      </c>
      <c r="T27" s="64" t="e">
        <f>IF(AND('Mapa final'!#REF!="Media",'Mapa final'!#REF!="Menor"),CONCATENATE("R2C",'Mapa final'!#REF!),"")</f>
        <v>#REF!</v>
      </c>
      <c r="U27" s="65" t="e">
        <f>IF(AND('Mapa final'!#REF!="Media",'Mapa final'!#REF!="Menor"),CONCATENATE("R2C",'Mapa final'!#REF!),"")</f>
        <v>#REF!</v>
      </c>
      <c r="V27" s="63" t="str">
        <f>IF(AND('Mapa final'!$Y$27="Media",'Mapa final'!$AA$27="Moderado"),CONCATENATE("R2C",'Mapa final'!$O$27),"")</f>
        <v>R2C1</v>
      </c>
      <c r="W27" s="64" t="str">
        <f>IF(AND('Mapa final'!$Y$28="Media",'Mapa final'!$AA$28="Moderado"),CONCATENATE("R2C",'Mapa final'!$O$28),"")</f>
        <v/>
      </c>
      <c r="X27" s="64" t="str">
        <f>IF(AND('Mapa final'!$Y$29="Media",'Mapa final'!$AA$29="Moderado"),CONCATENATE("R2C",'Mapa final'!$O$29),"")</f>
        <v/>
      </c>
      <c r="Y27" s="64" t="e">
        <f>IF(AND('Mapa final'!#REF!="Media",'Mapa final'!#REF!="Moderado"),CONCATENATE("R2C",'Mapa final'!#REF!),"")</f>
        <v>#REF!</v>
      </c>
      <c r="Z27" s="64" t="e">
        <f>IF(AND('Mapa final'!#REF!="Media",'Mapa final'!#REF!="Moderado"),CONCATENATE("R2C",'Mapa final'!#REF!),"")</f>
        <v>#REF!</v>
      </c>
      <c r="AA27" s="65" t="e">
        <f>IF(AND('Mapa final'!#REF!="Media",'Mapa final'!#REF!="Moderado"),CONCATENATE("R2C",'Mapa final'!#REF!),"")</f>
        <v>#REF!</v>
      </c>
      <c r="AB27" s="48" t="str">
        <f>IF(AND('Mapa final'!$Y$27="Media",'Mapa final'!$AA$27="Mayor"),CONCATENATE("R2C",'Mapa final'!$O$27),"")</f>
        <v/>
      </c>
      <c r="AC27" s="49" t="str">
        <f>IF(AND('Mapa final'!$Y$28="Media",'Mapa final'!$AA$28="Mayor"),CONCATENATE("R2C",'Mapa final'!$O$28),"")</f>
        <v/>
      </c>
      <c r="AD27" s="49" t="str">
        <f>IF(AND('Mapa final'!$Y$29="Media",'Mapa final'!$AA$29="Mayor"),CONCATENATE("R2C",'Mapa final'!$O$29),"")</f>
        <v/>
      </c>
      <c r="AE27" s="49" t="e">
        <f>IF(AND('Mapa final'!#REF!="Media",'Mapa final'!#REF!="Mayor"),CONCATENATE("R2C",'Mapa final'!#REF!),"")</f>
        <v>#REF!</v>
      </c>
      <c r="AF27" s="49" t="e">
        <f>IF(AND('Mapa final'!#REF!="Media",'Mapa final'!#REF!="Mayor"),CONCATENATE("R2C",'Mapa final'!#REF!),"")</f>
        <v>#REF!</v>
      </c>
      <c r="AG27" s="50" t="e">
        <f>IF(AND('Mapa final'!#REF!="Media",'Mapa final'!#REF!="Mayor"),CONCATENATE("R2C",'Mapa final'!#REF!),"")</f>
        <v>#REF!</v>
      </c>
      <c r="AH27" s="51" t="str">
        <f>IF(AND('Mapa final'!$Y$27="Media",'Mapa final'!$AA$27="Catastrófico"),CONCATENATE("R2C",'Mapa final'!$O$27),"")</f>
        <v/>
      </c>
      <c r="AI27" s="52" t="str">
        <f>IF(AND('Mapa final'!$Y$28="Media",'Mapa final'!$AA$28="Catastrófico"),CONCATENATE("R2C",'Mapa final'!$O$28),"")</f>
        <v/>
      </c>
      <c r="AJ27" s="52" t="str">
        <f>IF(AND('Mapa final'!$Y$29="Media",'Mapa final'!$AA$29="Catastrófico"),CONCATENATE("R2C",'Mapa final'!$O$29),"")</f>
        <v/>
      </c>
      <c r="AK27" s="52" t="e">
        <f>IF(AND('Mapa final'!#REF!="Media",'Mapa final'!#REF!="Catastrófico"),CONCATENATE("R2C",'Mapa final'!#REF!),"")</f>
        <v>#REF!</v>
      </c>
      <c r="AL27" s="52" t="e">
        <f>IF(AND('Mapa final'!#REF!="Media",'Mapa final'!#REF!="Catastrófico"),CONCATENATE("R2C",'Mapa final'!#REF!),"")</f>
        <v>#REF!</v>
      </c>
      <c r="AM27" s="53" t="e">
        <f>IF(AND('Mapa final'!#REF!="Media",'Mapa final'!#REF!="Catastrófico"),CONCATENATE("R2C",'Mapa final'!#REF!),"")</f>
        <v>#REF!</v>
      </c>
      <c r="AN27" s="79"/>
      <c r="AO27" s="474"/>
      <c r="AP27" s="475"/>
      <c r="AQ27" s="475"/>
      <c r="AR27" s="475"/>
      <c r="AS27" s="475"/>
      <c r="AT27" s="476"/>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row>
    <row r="28" spans="1:76" ht="15" customHeight="1" x14ac:dyDescent="0.25">
      <c r="A28" s="79"/>
      <c r="B28" s="346"/>
      <c r="C28" s="346"/>
      <c r="D28" s="347"/>
      <c r="E28" s="445"/>
      <c r="F28" s="444"/>
      <c r="G28" s="444"/>
      <c r="H28" s="444"/>
      <c r="I28" s="460"/>
      <c r="J28" s="63" t="str">
        <f>IF(AND('Mapa final'!$Y$30="Media",'Mapa final'!$AA$30="Leve"),CONCATENATE("R3C",'Mapa final'!$O$30),"")</f>
        <v/>
      </c>
      <c r="K28" s="64" t="e">
        <f>IF(AND('Mapa final'!#REF!="Media",'Mapa final'!#REF!="Leve"),CONCATENATE("R3C",'Mapa final'!#REF!),"")</f>
        <v>#REF!</v>
      </c>
      <c r="L28" s="64" t="e">
        <f>IF(AND('Mapa final'!#REF!="Media",'Mapa final'!#REF!="Leve"),CONCATENATE("R3C",'Mapa final'!#REF!),"")</f>
        <v>#REF!</v>
      </c>
      <c r="M28" s="64" t="e">
        <f>IF(AND('Mapa final'!#REF!="Media",'Mapa final'!#REF!="Leve"),CONCATENATE("R3C",'Mapa final'!#REF!),"")</f>
        <v>#REF!</v>
      </c>
      <c r="N28" s="64" t="e">
        <f>IF(AND('Mapa final'!#REF!="Media",'Mapa final'!#REF!="Leve"),CONCATENATE("R3C",'Mapa final'!#REF!),"")</f>
        <v>#REF!</v>
      </c>
      <c r="O28" s="65" t="e">
        <f>IF(AND('Mapa final'!#REF!="Media",'Mapa final'!#REF!="Leve"),CONCATENATE("R3C",'Mapa final'!#REF!),"")</f>
        <v>#REF!</v>
      </c>
      <c r="P28" s="63" t="str">
        <f>IF(AND('Mapa final'!$Y$30="Media",'Mapa final'!$AA$30="Menor"),CONCATENATE("R3C",'Mapa final'!$O$30),"")</f>
        <v/>
      </c>
      <c r="Q28" s="64" t="e">
        <f>IF(AND('Mapa final'!#REF!="Media",'Mapa final'!#REF!="Menor"),CONCATENATE("R3C",'Mapa final'!#REF!),"")</f>
        <v>#REF!</v>
      </c>
      <c r="R28" s="64" t="e">
        <f>IF(AND('Mapa final'!#REF!="Media",'Mapa final'!#REF!="Menor"),CONCATENATE("R3C",'Mapa final'!#REF!),"")</f>
        <v>#REF!</v>
      </c>
      <c r="S28" s="64" t="e">
        <f>IF(AND('Mapa final'!#REF!="Media",'Mapa final'!#REF!="Menor"),CONCATENATE("R3C",'Mapa final'!#REF!),"")</f>
        <v>#REF!</v>
      </c>
      <c r="T28" s="64" t="e">
        <f>IF(AND('Mapa final'!#REF!="Media",'Mapa final'!#REF!="Menor"),CONCATENATE("R3C",'Mapa final'!#REF!),"")</f>
        <v>#REF!</v>
      </c>
      <c r="U28" s="65" t="e">
        <f>IF(AND('Mapa final'!#REF!="Media",'Mapa final'!#REF!="Menor"),CONCATENATE("R3C",'Mapa final'!#REF!),"")</f>
        <v>#REF!</v>
      </c>
      <c r="V28" s="63" t="str">
        <f>IF(AND('Mapa final'!$Y$30="Media",'Mapa final'!$AA$30="Moderado"),CONCATENATE("R3C",'Mapa final'!$O$30),"")</f>
        <v/>
      </c>
      <c r="W28" s="64" t="e">
        <f>IF(AND('Mapa final'!#REF!="Media",'Mapa final'!#REF!="Moderado"),CONCATENATE("R3C",'Mapa final'!#REF!),"")</f>
        <v>#REF!</v>
      </c>
      <c r="X28" s="64" t="e">
        <f>IF(AND('Mapa final'!#REF!="Media",'Mapa final'!#REF!="Moderado"),CONCATENATE("R3C",'Mapa final'!#REF!),"")</f>
        <v>#REF!</v>
      </c>
      <c r="Y28" s="64" t="e">
        <f>IF(AND('Mapa final'!#REF!="Media",'Mapa final'!#REF!="Moderado"),CONCATENATE("R3C",'Mapa final'!#REF!),"")</f>
        <v>#REF!</v>
      </c>
      <c r="Z28" s="64" t="e">
        <f>IF(AND('Mapa final'!#REF!="Media",'Mapa final'!#REF!="Moderado"),CONCATENATE("R3C",'Mapa final'!#REF!),"")</f>
        <v>#REF!</v>
      </c>
      <c r="AA28" s="65" t="e">
        <f>IF(AND('Mapa final'!#REF!="Media",'Mapa final'!#REF!="Moderado"),CONCATENATE("R3C",'Mapa final'!#REF!),"")</f>
        <v>#REF!</v>
      </c>
      <c r="AB28" s="48" t="str">
        <f>IF(AND('Mapa final'!$Y$30="Media",'Mapa final'!$AA$30="Mayor"),CONCATENATE("R3C",'Mapa final'!$O$30),"")</f>
        <v/>
      </c>
      <c r="AC28" s="49" t="e">
        <f>IF(AND('Mapa final'!#REF!="Media",'Mapa final'!#REF!="Mayor"),CONCATENATE("R3C",'Mapa final'!#REF!),"")</f>
        <v>#REF!</v>
      </c>
      <c r="AD28" s="49" t="e">
        <f>IF(AND('Mapa final'!#REF!="Media",'Mapa final'!#REF!="Mayor"),CONCATENATE("R3C",'Mapa final'!#REF!),"")</f>
        <v>#REF!</v>
      </c>
      <c r="AE28" s="49" t="e">
        <f>IF(AND('Mapa final'!#REF!="Media",'Mapa final'!#REF!="Mayor"),CONCATENATE("R3C",'Mapa final'!#REF!),"")</f>
        <v>#REF!</v>
      </c>
      <c r="AF28" s="49" t="e">
        <f>IF(AND('Mapa final'!#REF!="Media",'Mapa final'!#REF!="Mayor"),CONCATENATE("R3C",'Mapa final'!#REF!),"")</f>
        <v>#REF!</v>
      </c>
      <c r="AG28" s="50" t="e">
        <f>IF(AND('Mapa final'!#REF!="Media",'Mapa final'!#REF!="Mayor"),CONCATENATE("R3C",'Mapa final'!#REF!),"")</f>
        <v>#REF!</v>
      </c>
      <c r="AH28" s="51" t="str">
        <f>IF(AND('Mapa final'!$Y$30="Media",'Mapa final'!$AA$30="Catastrófico"),CONCATENATE("R3C",'Mapa final'!$O$30),"")</f>
        <v/>
      </c>
      <c r="AI28" s="52" t="e">
        <f>IF(AND('Mapa final'!#REF!="Media",'Mapa final'!#REF!="Catastrófico"),CONCATENATE("R3C",'Mapa final'!#REF!),"")</f>
        <v>#REF!</v>
      </c>
      <c r="AJ28" s="52" t="e">
        <f>IF(AND('Mapa final'!#REF!="Media",'Mapa final'!#REF!="Catastrófico"),CONCATENATE("R3C",'Mapa final'!#REF!),"")</f>
        <v>#REF!</v>
      </c>
      <c r="AK28" s="52" t="e">
        <f>IF(AND('Mapa final'!#REF!="Media",'Mapa final'!#REF!="Catastrófico"),CONCATENATE("R3C",'Mapa final'!#REF!),"")</f>
        <v>#REF!</v>
      </c>
      <c r="AL28" s="52" t="e">
        <f>IF(AND('Mapa final'!#REF!="Media",'Mapa final'!#REF!="Catastrófico"),CONCATENATE("R3C",'Mapa final'!#REF!),"")</f>
        <v>#REF!</v>
      </c>
      <c r="AM28" s="53" t="e">
        <f>IF(AND('Mapa final'!#REF!="Media",'Mapa final'!#REF!="Catastrófico"),CONCATENATE("R3C",'Mapa final'!#REF!),"")</f>
        <v>#REF!</v>
      </c>
      <c r="AN28" s="79"/>
      <c r="AO28" s="474"/>
      <c r="AP28" s="475"/>
      <c r="AQ28" s="475"/>
      <c r="AR28" s="475"/>
      <c r="AS28" s="475"/>
      <c r="AT28" s="476"/>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row>
    <row r="29" spans="1:76" ht="15" customHeight="1" x14ac:dyDescent="0.25">
      <c r="A29" s="79"/>
      <c r="B29" s="346"/>
      <c r="C29" s="346"/>
      <c r="D29" s="347"/>
      <c r="E29" s="445"/>
      <c r="F29" s="444"/>
      <c r="G29" s="444"/>
      <c r="H29" s="444"/>
      <c r="I29" s="460"/>
      <c r="J29" s="63" t="str">
        <f>IF(AND('Mapa final'!$Y$31="Media",'Mapa final'!$AA$31="Leve"),CONCATENATE("R4C",'Mapa final'!$O$31),"")</f>
        <v/>
      </c>
      <c r="K29" s="64" t="str">
        <f>IF(AND('Mapa final'!$Y$32="Media",'Mapa final'!$AA$32="Leve"),CONCATENATE("R4C",'Mapa final'!$O$32),"")</f>
        <v/>
      </c>
      <c r="L29" s="64" t="e">
        <f>IF(AND('Mapa final'!#REF!="Media",'Mapa final'!#REF!="Leve"),CONCATENATE("R4C",'Mapa final'!#REF!),"")</f>
        <v>#REF!</v>
      </c>
      <c r="M29" s="64" t="e">
        <f>IF(AND('Mapa final'!#REF!="Media",'Mapa final'!#REF!="Leve"),CONCATENATE("R4C",'Mapa final'!#REF!),"")</f>
        <v>#REF!</v>
      </c>
      <c r="N29" s="64" t="e">
        <f>IF(AND('Mapa final'!#REF!="Media",'Mapa final'!#REF!="Leve"),CONCATENATE("R4C",'Mapa final'!#REF!),"")</f>
        <v>#REF!</v>
      </c>
      <c r="O29" s="65" t="e">
        <f>IF(AND('Mapa final'!#REF!="Media",'Mapa final'!#REF!="Leve"),CONCATENATE("R4C",'Mapa final'!#REF!),"")</f>
        <v>#REF!</v>
      </c>
      <c r="P29" s="63" t="str">
        <f>IF(AND('Mapa final'!$Y$31="Media",'Mapa final'!$AA$31="Menor"),CONCATENATE("R4C",'Mapa final'!$O$31),"")</f>
        <v>R4C1</v>
      </c>
      <c r="Q29" s="64" t="str">
        <f>IF(AND('Mapa final'!$Y$32="Media",'Mapa final'!$AA$32="Menor"),CONCATENATE("R4C",'Mapa final'!$O$32),"")</f>
        <v/>
      </c>
      <c r="R29" s="64" t="e">
        <f>IF(AND('Mapa final'!#REF!="Media",'Mapa final'!#REF!="Menor"),CONCATENATE("R4C",'Mapa final'!#REF!),"")</f>
        <v>#REF!</v>
      </c>
      <c r="S29" s="64" t="e">
        <f>IF(AND('Mapa final'!#REF!="Media",'Mapa final'!#REF!="Menor"),CONCATENATE("R4C",'Mapa final'!#REF!),"")</f>
        <v>#REF!</v>
      </c>
      <c r="T29" s="64" t="e">
        <f>IF(AND('Mapa final'!#REF!="Media",'Mapa final'!#REF!="Menor"),CONCATENATE("R4C",'Mapa final'!#REF!),"")</f>
        <v>#REF!</v>
      </c>
      <c r="U29" s="65" t="e">
        <f>IF(AND('Mapa final'!#REF!="Media",'Mapa final'!#REF!="Menor"),CONCATENATE("R4C",'Mapa final'!#REF!),"")</f>
        <v>#REF!</v>
      </c>
      <c r="V29" s="63" t="str">
        <f>IF(AND('Mapa final'!$Y$31="Media",'Mapa final'!$AA$31="Moderado"),CONCATENATE("R4C",'Mapa final'!$O$31),"")</f>
        <v/>
      </c>
      <c r="W29" s="64" t="str">
        <f>IF(AND('Mapa final'!$Y$32="Media",'Mapa final'!$AA$32="Moderado"),CONCATENATE("R4C",'Mapa final'!$O$32),"")</f>
        <v/>
      </c>
      <c r="X29" s="64" t="e">
        <f>IF(AND('Mapa final'!#REF!="Media",'Mapa final'!#REF!="Moderado"),CONCATENATE("R4C",'Mapa final'!#REF!),"")</f>
        <v>#REF!</v>
      </c>
      <c r="Y29" s="64" t="e">
        <f>IF(AND('Mapa final'!#REF!="Media",'Mapa final'!#REF!="Moderado"),CONCATENATE("R4C",'Mapa final'!#REF!),"")</f>
        <v>#REF!</v>
      </c>
      <c r="Z29" s="64" t="e">
        <f>IF(AND('Mapa final'!#REF!="Media",'Mapa final'!#REF!="Moderado"),CONCATENATE("R4C",'Mapa final'!#REF!),"")</f>
        <v>#REF!</v>
      </c>
      <c r="AA29" s="65" t="e">
        <f>IF(AND('Mapa final'!#REF!="Media",'Mapa final'!#REF!="Moderado"),CONCATENATE("R4C",'Mapa final'!#REF!),"")</f>
        <v>#REF!</v>
      </c>
      <c r="AB29" s="48" t="str">
        <f>IF(AND('Mapa final'!$Y$31="Media",'Mapa final'!$AA$31="Mayor"),CONCATENATE("R4C",'Mapa final'!$O$31),"")</f>
        <v/>
      </c>
      <c r="AC29" s="49" t="str">
        <f>IF(AND('Mapa final'!$Y$32="Media",'Mapa final'!$AA$32="Mayor"),CONCATENATE("R4C",'Mapa final'!$O$32),"")</f>
        <v/>
      </c>
      <c r="AD29" s="49" t="e">
        <f>IF(AND('Mapa final'!#REF!="Media",'Mapa final'!#REF!="Mayor"),CONCATENATE("R4C",'Mapa final'!#REF!),"")</f>
        <v>#REF!</v>
      </c>
      <c r="AE29" s="49" t="e">
        <f>IF(AND('Mapa final'!#REF!="Media",'Mapa final'!#REF!="Mayor"),CONCATENATE("R4C",'Mapa final'!#REF!),"")</f>
        <v>#REF!</v>
      </c>
      <c r="AF29" s="49" t="e">
        <f>IF(AND('Mapa final'!#REF!="Media",'Mapa final'!#REF!="Mayor"),CONCATENATE("R4C",'Mapa final'!#REF!),"")</f>
        <v>#REF!</v>
      </c>
      <c r="AG29" s="50" t="e">
        <f>IF(AND('Mapa final'!#REF!="Media",'Mapa final'!#REF!="Mayor"),CONCATENATE("R4C",'Mapa final'!#REF!),"")</f>
        <v>#REF!</v>
      </c>
      <c r="AH29" s="51" t="str">
        <f>IF(AND('Mapa final'!$Y$31="Media",'Mapa final'!$AA$31="Catastrófico"),CONCATENATE("R4C",'Mapa final'!$O$31),"")</f>
        <v/>
      </c>
      <c r="AI29" s="52" t="str">
        <f>IF(AND('Mapa final'!$Y$32="Media",'Mapa final'!$AA$32="Catastrófico"),CONCATENATE("R4C",'Mapa final'!$O$32),"")</f>
        <v/>
      </c>
      <c r="AJ29" s="52" t="e">
        <f>IF(AND('Mapa final'!#REF!="Media",'Mapa final'!#REF!="Catastrófico"),CONCATENATE("R4C",'Mapa final'!#REF!),"")</f>
        <v>#REF!</v>
      </c>
      <c r="AK29" s="52" t="e">
        <f>IF(AND('Mapa final'!#REF!="Media",'Mapa final'!#REF!="Catastrófico"),CONCATENATE("R4C",'Mapa final'!#REF!),"")</f>
        <v>#REF!</v>
      </c>
      <c r="AL29" s="52" t="e">
        <f>IF(AND('Mapa final'!#REF!="Media",'Mapa final'!#REF!="Catastrófico"),CONCATENATE("R4C",'Mapa final'!#REF!),"")</f>
        <v>#REF!</v>
      </c>
      <c r="AM29" s="53" t="e">
        <f>IF(AND('Mapa final'!#REF!="Media",'Mapa final'!#REF!="Catastrófico"),CONCATENATE("R4C",'Mapa final'!#REF!),"")</f>
        <v>#REF!</v>
      </c>
      <c r="AN29" s="79"/>
      <c r="AO29" s="474"/>
      <c r="AP29" s="475"/>
      <c r="AQ29" s="475"/>
      <c r="AR29" s="475"/>
      <c r="AS29" s="475"/>
      <c r="AT29" s="476"/>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row>
    <row r="30" spans="1:76" ht="15" customHeight="1" x14ac:dyDescent="0.25">
      <c r="A30" s="79"/>
      <c r="B30" s="346"/>
      <c r="C30" s="346"/>
      <c r="D30" s="347"/>
      <c r="E30" s="445"/>
      <c r="F30" s="444"/>
      <c r="G30" s="444"/>
      <c r="H30" s="444"/>
      <c r="I30" s="460"/>
      <c r="J30" s="63" t="str">
        <f>IF(AND('Mapa final'!$Y$33="Media",'Mapa final'!$AA$33="Leve"),CONCATENATE("R5C",'Mapa final'!$O$33),"")</f>
        <v/>
      </c>
      <c r="K30" s="64" t="str">
        <f>IF(AND('Mapa final'!$Y$34="Media",'Mapa final'!$AA$34="Leve"),CONCATENATE("R5C",'Mapa final'!$O$34),"")</f>
        <v/>
      </c>
      <c r="L30" s="64" t="e">
        <f>IF(AND('Mapa final'!#REF!="Media",'Mapa final'!#REF!="Leve"),CONCATENATE("R5C",'Mapa final'!#REF!),"")</f>
        <v>#REF!</v>
      </c>
      <c r="M30" s="64" t="e">
        <f>IF(AND('Mapa final'!#REF!="Media",'Mapa final'!#REF!="Leve"),CONCATENATE("R5C",'Mapa final'!#REF!),"")</f>
        <v>#REF!</v>
      </c>
      <c r="N30" s="64" t="e">
        <f>IF(AND('Mapa final'!#REF!="Media",'Mapa final'!#REF!="Leve"),CONCATENATE("R5C",'Mapa final'!#REF!),"")</f>
        <v>#REF!</v>
      </c>
      <c r="O30" s="65" t="e">
        <f>IF(AND('Mapa final'!#REF!="Media",'Mapa final'!#REF!="Leve"),CONCATENATE("R5C",'Mapa final'!#REF!),"")</f>
        <v>#REF!</v>
      </c>
      <c r="P30" s="63" t="str">
        <f>IF(AND('Mapa final'!$Y$33="Media",'Mapa final'!$AA$33="Menor"),CONCATENATE("R5C",'Mapa final'!$O$33),"")</f>
        <v/>
      </c>
      <c r="Q30" s="64" t="str">
        <f>IF(AND('Mapa final'!$Y$34="Media",'Mapa final'!$AA$34="Menor"),CONCATENATE("R5C",'Mapa final'!$O$34),"")</f>
        <v/>
      </c>
      <c r="R30" s="64" t="e">
        <f>IF(AND('Mapa final'!#REF!="Media",'Mapa final'!#REF!="Menor"),CONCATENATE("R5C",'Mapa final'!#REF!),"")</f>
        <v>#REF!</v>
      </c>
      <c r="S30" s="64" t="e">
        <f>IF(AND('Mapa final'!#REF!="Media",'Mapa final'!#REF!="Menor"),CONCATENATE("R5C",'Mapa final'!#REF!),"")</f>
        <v>#REF!</v>
      </c>
      <c r="T30" s="64" t="e">
        <f>IF(AND('Mapa final'!#REF!="Media",'Mapa final'!#REF!="Menor"),CONCATENATE("R5C",'Mapa final'!#REF!),"")</f>
        <v>#REF!</v>
      </c>
      <c r="U30" s="65" t="e">
        <f>IF(AND('Mapa final'!#REF!="Media",'Mapa final'!#REF!="Menor"),CONCATENATE("R5C",'Mapa final'!#REF!),"")</f>
        <v>#REF!</v>
      </c>
      <c r="V30" s="63" t="str">
        <f>IF(AND('Mapa final'!$Y$33="Media",'Mapa final'!$AA$33="Moderado"),CONCATENATE("R5C",'Mapa final'!$O$33),"")</f>
        <v/>
      </c>
      <c r="W30" s="64" t="str">
        <f>IF(AND('Mapa final'!$Y$34="Media",'Mapa final'!$AA$34="Moderado"),CONCATENATE("R5C",'Mapa final'!$O$34),"")</f>
        <v/>
      </c>
      <c r="X30" s="64" t="e">
        <f>IF(AND('Mapa final'!#REF!="Media",'Mapa final'!#REF!="Moderado"),CONCATENATE("R5C",'Mapa final'!#REF!),"")</f>
        <v>#REF!</v>
      </c>
      <c r="Y30" s="64" t="e">
        <f>IF(AND('Mapa final'!#REF!="Media",'Mapa final'!#REF!="Moderado"),CONCATENATE("R5C",'Mapa final'!#REF!),"")</f>
        <v>#REF!</v>
      </c>
      <c r="Z30" s="64" t="e">
        <f>IF(AND('Mapa final'!#REF!="Media",'Mapa final'!#REF!="Moderado"),CONCATENATE("R5C",'Mapa final'!#REF!),"")</f>
        <v>#REF!</v>
      </c>
      <c r="AA30" s="65" t="e">
        <f>IF(AND('Mapa final'!#REF!="Media",'Mapa final'!#REF!="Moderado"),CONCATENATE("R5C",'Mapa final'!#REF!),"")</f>
        <v>#REF!</v>
      </c>
      <c r="AB30" s="48" t="str">
        <f>IF(AND('Mapa final'!$Y$33="Media",'Mapa final'!$AA$33="Mayor"),CONCATENATE("R5C",'Mapa final'!$O$33),"")</f>
        <v/>
      </c>
      <c r="AC30" s="49" t="str">
        <f>IF(AND('Mapa final'!$Y$34="Media",'Mapa final'!$AA$34="Mayor"),CONCATENATE("R5C",'Mapa final'!$O$34),"")</f>
        <v/>
      </c>
      <c r="AD30" s="49" t="e">
        <f>IF(AND('Mapa final'!#REF!="Media",'Mapa final'!#REF!="Mayor"),CONCATENATE("R5C",'Mapa final'!#REF!),"")</f>
        <v>#REF!</v>
      </c>
      <c r="AE30" s="49" t="e">
        <f>IF(AND('Mapa final'!#REF!="Media",'Mapa final'!#REF!="Mayor"),CONCATENATE("R5C",'Mapa final'!#REF!),"")</f>
        <v>#REF!</v>
      </c>
      <c r="AF30" s="49" t="e">
        <f>IF(AND('Mapa final'!#REF!="Media",'Mapa final'!#REF!="Mayor"),CONCATENATE("R5C",'Mapa final'!#REF!),"")</f>
        <v>#REF!</v>
      </c>
      <c r="AG30" s="50" t="e">
        <f>IF(AND('Mapa final'!#REF!="Media",'Mapa final'!#REF!="Mayor"),CONCATENATE("R5C",'Mapa final'!#REF!),"")</f>
        <v>#REF!</v>
      </c>
      <c r="AH30" s="51" t="str">
        <f>IF(AND('Mapa final'!$Y$33="Media",'Mapa final'!$AA$33="Catastrófico"),CONCATENATE("R5C",'Mapa final'!$O$33),"")</f>
        <v/>
      </c>
      <c r="AI30" s="52" t="str">
        <f>IF(AND('Mapa final'!$Y$34="Media",'Mapa final'!$AA$34="Catastrófico"),CONCATENATE("R5C",'Mapa final'!$O$34),"")</f>
        <v/>
      </c>
      <c r="AJ30" s="52" t="e">
        <f>IF(AND('Mapa final'!#REF!="Media",'Mapa final'!#REF!="Catastrófico"),CONCATENATE("R5C",'Mapa final'!#REF!),"")</f>
        <v>#REF!</v>
      </c>
      <c r="AK30" s="52" t="e">
        <f>IF(AND('Mapa final'!#REF!="Media",'Mapa final'!#REF!="Catastrófico"),CONCATENATE("R5C",'Mapa final'!#REF!),"")</f>
        <v>#REF!</v>
      </c>
      <c r="AL30" s="52" t="e">
        <f>IF(AND('Mapa final'!#REF!="Media",'Mapa final'!#REF!="Catastrófico"),CONCATENATE("R5C",'Mapa final'!#REF!),"")</f>
        <v>#REF!</v>
      </c>
      <c r="AM30" s="53" t="e">
        <f>IF(AND('Mapa final'!#REF!="Media",'Mapa final'!#REF!="Catastrófico"),CONCATENATE("R5C",'Mapa final'!#REF!),"")</f>
        <v>#REF!</v>
      </c>
      <c r="AN30" s="79"/>
      <c r="AO30" s="474"/>
      <c r="AP30" s="475"/>
      <c r="AQ30" s="475"/>
      <c r="AR30" s="475"/>
      <c r="AS30" s="475"/>
      <c r="AT30" s="476"/>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row>
    <row r="31" spans="1:76" ht="15" customHeight="1" x14ac:dyDescent="0.25">
      <c r="A31" s="79"/>
      <c r="B31" s="346"/>
      <c r="C31" s="346"/>
      <c r="D31" s="347"/>
      <c r="E31" s="445"/>
      <c r="F31" s="444"/>
      <c r="G31" s="444"/>
      <c r="H31" s="444"/>
      <c r="I31" s="460"/>
      <c r="J31" s="63" t="str">
        <f>IF(AND('Mapa final'!$Y$35="Media",'Mapa final'!$AA$35="Leve"),CONCATENATE("R6C",'Mapa final'!$O$35),"")</f>
        <v/>
      </c>
      <c r="K31" s="64" t="e">
        <f>IF(AND('Mapa final'!#REF!="Media",'Mapa final'!#REF!="Leve"),CONCATENATE("R6C",'Mapa final'!#REF!),"")</f>
        <v>#REF!</v>
      </c>
      <c r="L31" s="64" t="e">
        <f>IF(AND('Mapa final'!#REF!="Media",'Mapa final'!#REF!="Leve"),CONCATENATE("R6C",'Mapa final'!#REF!),"")</f>
        <v>#REF!</v>
      </c>
      <c r="M31" s="64" t="e">
        <f>IF(AND('Mapa final'!#REF!="Media",'Mapa final'!#REF!="Leve"),CONCATENATE("R6C",'Mapa final'!#REF!),"")</f>
        <v>#REF!</v>
      </c>
      <c r="N31" s="64" t="e">
        <f>IF(AND('Mapa final'!#REF!="Media",'Mapa final'!#REF!="Leve"),CONCATENATE("R6C",'Mapa final'!#REF!),"")</f>
        <v>#REF!</v>
      </c>
      <c r="O31" s="65" t="e">
        <f>IF(AND('Mapa final'!#REF!="Media",'Mapa final'!#REF!="Leve"),CONCATENATE("R6C",'Mapa final'!#REF!),"")</f>
        <v>#REF!</v>
      </c>
      <c r="P31" s="63" t="str">
        <f>IF(AND('Mapa final'!$Y$35="Media",'Mapa final'!$AA$35="Menor"),CONCATENATE("R6C",'Mapa final'!$O$35),"")</f>
        <v/>
      </c>
      <c r="Q31" s="64" t="e">
        <f>IF(AND('Mapa final'!#REF!="Media",'Mapa final'!#REF!="Menor"),CONCATENATE("R6C",'Mapa final'!#REF!),"")</f>
        <v>#REF!</v>
      </c>
      <c r="R31" s="64" t="e">
        <f>IF(AND('Mapa final'!#REF!="Media",'Mapa final'!#REF!="Menor"),CONCATENATE("R6C",'Mapa final'!#REF!),"")</f>
        <v>#REF!</v>
      </c>
      <c r="S31" s="64" t="e">
        <f>IF(AND('Mapa final'!#REF!="Media",'Mapa final'!#REF!="Menor"),CONCATENATE("R6C",'Mapa final'!#REF!),"")</f>
        <v>#REF!</v>
      </c>
      <c r="T31" s="64" t="e">
        <f>IF(AND('Mapa final'!#REF!="Media",'Mapa final'!#REF!="Menor"),CONCATENATE("R6C",'Mapa final'!#REF!),"")</f>
        <v>#REF!</v>
      </c>
      <c r="U31" s="65" t="e">
        <f>IF(AND('Mapa final'!#REF!="Media",'Mapa final'!#REF!="Menor"),CONCATENATE("R6C",'Mapa final'!#REF!),"")</f>
        <v>#REF!</v>
      </c>
      <c r="V31" s="63" t="str">
        <f>IF(AND('Mapa final'!$Y$35="Media",'Mapa final'!$AA$35="Moderado"),CONCATENATE("R6C",'Mapa final'!$O$35),"")</f>
        <v/>
      </c>
      <c r="W31" s="64" t="e">
        <f>IF(AND('Mapa final'!#REF!="Media",'Mapa final'!#REF!="Moderado"),CONCATENATE("R6C",'Mapa final'!#REF!),"")</f>
        <v>#REF!</v>
      </c>
      <c r="X31" s="64" t="e">
        <f>IF(AND('Mapa final'!#REF!="Media",'Mapa final'!#REF!="Moderado"),CONCATENATE("R6C",'Mapa final'!#REF!),"")</f>
        <v>#REF!</v>
      </c>
      <c r="Y31" s="64" t="e">
        <f>IF(AND('Mapa final'!#REF!="Media",'Mapa final'!#REF!="Moderado"),CONCATENATE("R6C",'Mapa final'!#REF!),"")</f>
        <v>#REF!</v>
      </c>
      <c r="Z31" s="64" t="e">
        <f>IF(AND('Mapa final'!#REF!="Media",'Mapa final'!#REF!="Moderado"),CONCATENATE("R6C",'Mapa final'!#REF!),"")</f>
        <v>#REF!</v>
      </c>
      <c r="AA31" s="65" t="e">
        <f>IF(AND('Mapa final'!#REF!="Media",'Mapa final'!#REF!="Moderado"),CONCATENATE("R6C",'Mapa final'!#REF!),"")</f>
        <v>#REF!</v>
      </c>
      <c r="AB31" s="48" t="str">
        <f>IF(AND('Mapa final'!$Y$35="Media",'Mapa final'!$AA$35="Mayor"),CONCATENATE("R6C",'Mapa final'!$O$35),"")</f>
        <v/>
      </c>
      <c r="AC31" s="49" t="e">
        <f>IF(AND('Mapa final'!#REF!="Media",'Mapa final'!#REF!="Mayor"),CONCATENATE("R6C",'Mapa final'!#REF!),"")</f>
        <v>#REF!</v>
      </c>
      <c r="AD31" s="49" t="e">
        <f>IF(AND('Mapa final'!#REF!="Media",'Mapa final'!#REF!="Mayor"),CONCATENATE("R6C",'Mapa final'!#REF!),"")</f>
        <v>#REF!</v>
      </c>
      <c r="AE31" s="49" t="e">
        <f>IF(AND('Mapa final'!#REF!="Media",'Mapa final'!#REF!="Mayor"),CONCATENATE("R6C",'Mapa final'!#REF!),"")</f>
        <v>#REF!</v>
      </c>
      <c r="AF31" s="49" t="e">
        <f>IF(AND('Mapa final'!#REF!="Media",'Mapa final'!#REF!="Mayor"),CONCATENATE("R6C",'Mapa final'!#REF!),"")</f>
        <v>#REF!</v>
      </c>
      <c r="AG31" s="50" t="e">
        <f>IF(AND('Mapa final'!#REF!="Media",'Mapa final'!#REF!="Mayor"),CONCATENATE("R6C",'Mapa final'!#REF!),"")</f>
        <v>#REF!</v>
      </c>
      <c r="AH31" s="51" t="str">
        <f>IF(AND('Mapa final'!$Y$35="Media",'Mapa final'!$AA$35="Catastrófico"),CONCATENATE("R6C",'Mapa final'!$O$35),"")</f>
        <v/>
      </c>
      <c r="AI31" s="52" t="e">
        <f>IF(AND('Mapa final'!#REF!="Media",'Mapa final'!#REF!="Catastrófico"),CONCATENATE("R6C",'Mapa final'!#REF!),"")</f>
        <v>#REF!</v>
      </c>
      <c r="AJ31" s="52" t="e">
        <f>IF(AND('Mapa final'!#REF!="Media",'Mapa final'!#REF!="Catastrófico"),CONCATENATE("R6C",'Mapa final'!#REF!),"")</f>
        <v>#REF!</v>
      </c>
      <c r="AK31" s="52" t="e">
        <f>IF(AND('Mapa final'!#REF!="Media",'Mapa final'!#REF!="Catastrófico"),CONCATENATE("R6C",'Mapa final'!#REF!),"")</f>
        <v>#REF!</v>
      </c>
      <c r="AL31" s="52" t="e">
        <f>IF(AND('Mapa final'!#REF!="Media",'Mapa final'!#REF!="Catastrófico"),CONCATENATE("R6C",'Mapa final'!#REF!),"")</f>
        <v>#REF!</v>
      </c>
      <c r="AM31" s="53" t="e">
        <f>IF(AND('Mapa final'!#REF!="Media",'Mapa final'!#REF!="Catastrófico"),CONCATENATE("R6C",'Mapa final'!#REF!),"")</f>
        <v>#REF!</v>
      </c>
      <c r="AN31" s="79"/>
      <c r="AO31" s="474"/>
      <c r="AP31" s="475"/>
      <c r="AQ31" s="475"/>
      <c r="AR31" s="475"/>
      <c r="AS31" s="475"/>
      <c r="AT31" s="476"/>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row>
    <row r="32" spans="1:76" ht="15" customHeight="1" x14ac:dyDescent="0.25">
      <c r="A32" s="79"/>
      <c r="B32" s="346"/>
      <c r="C32" s="346"/>
      <c r="D32" s="347"/>
      <c r="E32" s="445"/>
      <c r="F32" s="444"/>
      <c r="G32" s="444"/>
      <c r="H32" s="444"/>
      <c r="I32" s="460"/>
      <c r="J32" s="63" t="str">
        <f>IF(AND('Mapa final'!$Y$41="Media",'Mapa final'!$AA$41="Leve"),CONCATENATE("R7C",'Mapa final'!$O$41),"")</f>
        <v/>
      </c>
      <c r="K32" s="64" t="str">
        <f>IF(AND('Mapa final'!$Y$42="Media",'Mapa final'!$AA$42="Leve"),CONCATENATE("R7C",'Mapa final'!$O$42),"")</f>
        <v/>
      </c>
      <c r="L32" s="64" t="e">
        <f>IF(AND('Mapa final'!#REF!="Media",'Mapa final'!#REF!="Leve"),CONCATENATE("R7C",'Mapa final'!#REF!),"")</f>
        <v>#REF!</v>
      </c>
      <c r="M32" s="64" t="e">
        <f>IF(AND('Mapa final'!#REF!="Media",'Mapa final'!#REF!="Leve"),CONCATENATE("R7C",'Mapa final'!#REF!),"")</f>
        <v>#REF!</v>
      </c>
      <c r="N32" s="64" t="e">
        <f>IF(AND('Mapa final'!#REF!="Media",'Mapa final'!#REF!="Leve"),CONCATENATE("R7C",'Mapa final'!#REF!),"")</f>
        <v>#REF!</v>
      </c>
      <c r="O32" s="65" t="e">
        <f>IF(AND('Mapa final'!#REF!="Media",'Mapa final'!#REF!="Leve"),CONCATENATE("R7C",'Mapa final'!#REF!),"")</f>
        <v>#REF!</v>
      </c>
      <c r="P32" s="63" t="str">
        <f>IF(AND('Mapa final'!$Y$41="Media",'Mapa final'!$AA$41="Menor"),CONCATENATE("R7C",'Mapa final'!$O$41),"")</f>
        <v/>
      </c>
      <c r="Q32" s="64" t="str">
        <f>IF(AND('Mapa final'!$Y$42="Media",'Mapa final'!$AA$42="Menor"),CONCATENATE("R7C",'Mapa final'!$O$42),"")</f>
        <v/>
      </c>
      <c r="R32" s="64" t="e">
        <f>IF(AND('Mapa final'!#REF!="Media",'Mapa final'!#REF!="Menor"),CONCATENATE("R7C",'Mapa final'!#REF!),"")</f>
        <v>#REF!</v>
      </c>
      <c r="S32" s="64" t="e">
        <f>IF(AND('Mapa final'!#REF!="Media",'Mapa final'!#REF!="Menor"),CONCATENATE("R7C",'Mapa final'!#REF!),"")</f>
        <v>#REF!</v>
      </c>
      <c r="T32" s="64" t="e">
        <f>IF(AND('Mapa final'!#REF!="Media",'Mapa final'!#REF!="Menor"),CONCATENATE("R7C",'Mapa final'!#REF!),"")</f>
        <v>#REF!</v>
      </c>
      <c r="U32" s="65" t="e">
        <f>IF(AND('Mapa final'!#REF!="Media",'Mapa final'!#REF!="Menor"),CONCATENATE("R7C",'Mapa final'!#REF!),"")</f>
        <v>#REF!</v>
      </c>
      <c r="V32" s="63" t="str">
        <f>IF(AND('Mapa final'!$Y$41="Media",'Mapa final'!$AA$41="Moderado"),CONCATENATE("R7C",'Mapa final'!$O$41),"")</f>
        <v/>
      </c>
      <c r="W32" s="64" t="str">
        <f>IF(AND('Mapa final'!$Y$42="Media",'Mapa final'!$AA$42="Moderado"),CONCATENATE("R7C",'Mapa final'!$O$42),"")</f>
        <v/>
      </c>
      <c r="X32" s="64" t="e">
        <f>IF(AND('Mapa final'!#REF!="Media",'Mapa final'!#REF!="Moderado"),CONCATENATE("R7C",'Mapa final'!#REF!),"")</f>
        <v>#REF!</v>
      </c>
      <c r="Y32" s="64" t="e">
        <f>IF(AND('Mapa final'!#REF!="Media",'Mapa final'!#REF!="Moderado"),CONCATENATE("R7C",'Mapa final'!#REF!),"")</f>
        <v>#REF!</v>
      </c>
      <c r="Z32" s="64" t="e">
        <f>IF(AND('Mapa final'!#REF!="Media",'Mapa final'!#REF!="Moderado"),CONCATENATE("R7C",'Mapa final'!#REF!),"")</f>
        <v>#REF!</v>
      </c>
      <c r="AA32" s="65" t="e">
        <f>IF(AND('Mapa final'!#REF!="Media",'Mapa final'!#REF!="Moderado"),CONCATENATE("R7C",'Mapa final'!#REF!),"")</f>
        <v>#REF!</v>
      </c>
      <c r="AB32" s="48" t="str">
        <f>IF(AND('Mapa final'!$Y$41="Media",'Mapa final'!$AA$41="Mayor"),CONCATENATE("R7C",'Mapa final'!$O$41),"")</f>
        <v/>
      </c>
      <c r="AC32" s="49" t="str">
        <f>IF(AND('Mapa final'!$Y$42="Media",'Mapa final'!$AA$42="Mayor"),CONCATENATE("R7C",'Mapa final'!$O$42),"")</f>
        <v/>
      </c>
      <c r="AD32" s="49" t="e">
        <f>IF(AND('Mapa final'!#REF!="Media",'Mapa final'!#REF!="Mayor"),CONCATENATE("R7C",'Mapa final'!#REF!),"")</f>
        <v>#REF!</v>
      </c>
      <c r="AE32" s="49" t="e">
        <f>IF(AND('Mapa final'!#REF!="Media",'Mapa final'!#REF!="Mayor"),CONCATENATE("R7C",'Mapa final'!#REF!),"")</f>
        <v>#REF!</v>
      </c>
      <c r="AF32" s="49" t="e">
        <f>IF(AND('Mapa final'!#REF!="Media",'Mapa final'!#REF!="Mayor"),CONCATENATE("R7C",'Mapa final'!#REF!),"")</f>
        <v>#REF!</v>
      </c>
      <c r="AG32" s="50" t="e">
        <f>IF(AND('Mapa final'!#REF!="Media",'Mapa final'!#REF!="Mayor"),CONCATENATE("R7C",'Mapa final'!#REF!),"")</f>
        <v>#REF!</v>
      </c>
      <c r="AH32" s="51" t="str">
        <f>IF(AND('Mapa final'!$Y$41="Media",'Mapa final'!$AA$41="Catastrófico"),CONCATENATE("R7C",'Mapa final'!$O$41),"")</f>
        <v/>
      </c>
      <c r="AI32" s="52" t="str">
        <f>IF(AND('Mapa final'!$Y$42="Media",'Mapa final'!$AA$42="Catastrófico"),CONCATENATE("R7C",'Mapa final'!$O$42),"")</f>
        <v/>
      </c>
      <c r="AJ32" s="52" t="e">
        <f>IF(AND('Mapa final'!#REF!="Media",'Mapa final'!#REF!="Catastrófico"),CONCATENATE("R7C",'Mapa final'!#REF!),"")</f>
        <v>#REF!</v>
      </c>
      <c r="AK32" s="52" t="e">
        <f>IF(AND('Mapa final'!#REF!="Media",'Mapa final'!#REF!="Catastrófico"),CONCATENATE("R7C",'Mapa final'!#REF!),"")</f>
        <v>#REF!</v>
      </c>
      <c r="AL32" s="52" t="e">
        <f>IF(AND('Mapa final'!#REF!="Media",'Mapa final'!#REF!="Catastrófico"),CONCATENATE("R7C",'Mapa final'!#REF!),"")</f>
        <v>#REF!</v>
      </c>
      <c r="AM32" s="53" t="e">
        <f>IF(AND('Mapa final'!#REF!="Media",'Mapa final'!#REF!="Catastrófico"),CONCATENATE("R7C",'Mapa final'!#REF!),"")</f>
        <v>#REF!</v>
      </c>
      <c r="AN32" s="79"/>
      <c r="AO32" s="474"/>
      <c r="AP32" s="475"/>
      <c r="AQ32" s="475"/>
      <c r="AR32" s="475"/>
      <c r="AS32" s="475"/>
      <c r="AT32" s="476"/>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row>
    <row r="33" spans="1:80" ht="15" customHeight="1" x14ac:dyDescent="0.25">
      <c r="A33" s="79"/>
      <c r="B33" s="346"/>
      <c r="C33" s="346"/>
      <c r="D33" s="347"/>
      <c r="E33" s="445"/>
      <c r="F33" s="444"/>
      <c r="G33" s="444"/>
      <c r="H33" s="444"/>
      <c r="I33" s="460"/>
      <c r="J33" s="63" t="str">
        <f>IF(AND('Mapa final'!$Y$43="Media",'Mapa final'!$AA$43="Leve"),CONCATENATE("R8C",'Mapa final'!$O$43),"")</f>
        <v/>
      </c>
      <c r="K33" s="64" t="str">
        <f>IF(AND('Mapa final'!$Y$44="Media",'Mapa final'!$AA$44="Leve"),CONCATENATE("R8C",'Mapa final'!$O$44),"")</f>
        <v/>
      </c>
      <c r="L33" s="64" t="str">
        <f>IF(AND('Mapa final'!$Y$45="Media",'Mapa final'!$AA$45="Leve"),CONCATENATE("R8C",'Mapa final'!$O$45),"")</f>
        <v/>
      </c>
      <c r="M33" s="64" t="str">
        <f>IF(AND('Mapa final'!$Y$46="Media",'Mapa final'!$AA$46="Leve"),CONCATENATE("R8C",'Mapa final'!$O$46),"")</f>
        <v/>
      </c>
      <c r="N33" s="64" t="str">
        <f>IF(AND('Mapa final'!$Y$47="Media",'Mapa final'!$AA$47="Leve"),CONCATENATE("R8C",'Mapa final'!$O$47),"")</f>
        <v/>
      </c>
      <c r="O33" s="65" t="str">
        <f>IF(AND('Mapa final'!$Y$48="Media",'Mapa final'!$AA$48="Leve"),CONCATENATE("R8C",'Mapa final'!$O$48),"")</f>
        <v/>
      </c>
      <c r="P33" s="63" t="str">
        <f>IF(AND('Mapa final'!$Y$43="Media",'Mapa final'!$AA$43="Menor"),CONCATENATE("R8C",'Mapa final'!$O$43),"")</f>
        <v/>
      </c>
      <c r="Q33" s="64" t="str">
        <f>IF(AND('Mapa final'!$Y$44="Media",'Mapa final'!$AA$44="Menor"),CONCATENATE("R8C",'Mapa final'!$O$44),"")</f>
        <v/>
      </c>
      <c r="R33" s="64" t="str">
        <f>IF(AND('Mapa final'!$Y$45="Media",'Mapa final'!$AA$45="Menor"),CONCATENATE("R8C",'Mapa final'!$O$45),"")</f>
        <v/>
      </c>
      <c r="S33" s="64" t="str">
        <f>IF(AND('Mapa final'!$Y$46="Media",'Mapa final'!$AA$46="Menor"),CONCATENATE("R8C",'Mapa final'!$O$46),"")</f>
        <v/>
      </c>
      <c r="T33" s="64" t="str">
        <f>IF(AND('Mapa final'!$Y$47="Media",'Mapa final'!$AA$47="Menor"),CONCATENATE("R8C",'Mapa final'!$O$47),"")</f>
        <v/>
      </c>
      <c r="U33" s="65" t="str">
        <f>IF(AND('Mapa final'!$Y$48="Media",'Mapa final'!$AA$48="Menor"),CONCATENATE("R8C",'Mapa final'!$O$48),"")</f>
        <v/>
      </c>
      <c r="V33" s="63" t="str">
        <f>IF(AND('Mapa final'!$Y$43="Media",'Mapa final'!$AA$43="Moderado"),CONCATENATE("R8C",'Mapa final'!$O$43),"")</f>
        <v/>
      </c>
      <c r="W33" s="64" t="str">
        <f>IF(AND('Mapa final'!$Y$44="Media",'Mapa final'!$AA$44="Moderado"),CONCATENATE("R8C",'Mapa final'!$O$44),"")</f>
        <v/>
      </c>
      <c r="X33" s="64" t="str">
        <f>IF(AND('Mapa final'!$Y$45="Media",'Mapa final'!$AA$45="Moderado"),CONCATENATE("R8C",'Mapa final'!$O$45),"")</f>
        <v/>
      </c>
      <c r="Y33" s="64" t="str">
        <f>IF(AND('Mapa final'!$Y$46="Media",'Mapa final'!$AA$46="Moderado"),CONCATENATE("R8C",'Mapa final'!$O$46),"")</f>
        <v/>
      </c>
      <c r="Z33" s="64" t="str">
        <f>IF(AND('Mapa final'!$Y$47="Media",'Mapa final'!$AA$47="Moderado"),CONCATENATE("R8C",'Mapa final'!$O$47),"")</f>
        <v/>
      </c>
      <c r="AA33" s="65" t="str">
        <f>IF(AND('Mapa final'!$Y$48="Media",'Mapa final'!$AA$48="Moderado"),CONCATENATE("R8C",'Mapa final'!$O$48),"")</f>
        <v/>
      </c>
      <c r="AB33" s="48" t="str">
        <f>IF(AND('Mapa final'!$Y$43="Media",'Mapa final'!$AA$43="Mayor"),CONCATENATE("R8C",'Mapa final'!$O$43),"")</f>
        <v/>
      </c>
      <c r="AC33" s="49" t="str">
        <f>IF(AND('Mapa final'!$Y$44="Media",'Mapa final'!$AA$44="Mayor"),CONCATENATE("R8C",'Mapa final'!$O$44),"")</f>
        <v/>
      </c>
      <c r="AD33" s="49" t="str">
        <f>IF(AND('Mapa final'!$Y$45="Media",'Mapa final'!$AA$45="Mayor"),CONCATENATE("R8C",'Mapa final'!$O$45),"")</f>
        <v/>
      </c>
      <c r="AE33" s="49" t="str">
        <f>IF(AND('Mapa final'!$Y$46="Media",'Mapa final'!$AA$46="Mayor"),CONCATENATE("R8C",'Mapa final'!$O$46),"")</f>
        <v/>
      </c>
      <c r="AF33" s="49" t="str">
        <f>IF(AND('Mapa final'!$Y$47="Media",'Mapa final'!$AA$47="Mayor"),CONCATENATE("R8C",'Mapa final'!$O$47),"")</f>
        <v/>
      </c>
      <c r="AG33" s="50" t="str">
        <f>IF(AND('Mapa final'!$Y$48="Media",'Mapa final'!$AA$48="Mayor"),CONCATENATE("R8C",'Mapa final'!$O$48),"")</f>
        <v/>
      </c>
      <c r="AH33" s="51" t="str">
        <f>IF(AND('Mapa final'!$Y$43="Media",'Mapa final'!$AA$43="Catastrófico"),CONCATENATE("R8C",'Mapa final'!$O$43),"")</f>
        <v/>
      </c>
      <c r="AI33" s="52" t="str">
        <f>IF(AND('Mapa final'!$Y$44="Media",'Mapa final'!$AA$44="Catastrófico"),CONCATENATE("R8C",'Mapa final'!$O$44),"")</f>
        <v/>
      </c>
      <c r="AJ33" s="52" t="str">
        <f>IF(AND('Mapa final'!$Y$45="Media",'Mapa final'!$AA$45="Catastrófico"),CONCATENATE("R8C",'Mapa final'!$O$45),"")</f>
        <v/>
      </c>
      <c r="AK33" s="52" t="str">
        <f>IF(AND('Mapa final'!$Y$46="Media",'Mapa final'!$AA$46="Catastrófico"),CONCATENATE("R8C",'Mapa final'!$O$46),"")</f>
        <v/>
      </c>
      <c r="AL33" s="52" t="str">
        <f>IF(AND('Mapa final'!$Y$47="Media",'Mapa final'!$AA$47="Catastrófico"),CONCATENATE("R8C",'Mapa final'!$O$47),"")</f>
        <v/>
      </c>
      <c r="AM33" s="53" t="str">
        <f>IF(AND('Mapa final'!$Y$48="Media",'Mapa final'!$AA$48="Catastrófico"),CONCATENATE("R8C",'Mapa final'!$O$48),"")</f>
        <v/>
      </c>
      <c r="AN33" s="79"/>
      <c r="AO33" s="474"/>
      <c r="AP33" s="475"/>
      <c r="AQ33" s="475"/>
      <c r="AR33" s="475"/>
      <c r="AS33" s="475"/>
      <c r="AT33" s="476"/>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row>
    <row r="34" spans="1:80" ht="15" customHeight="1" x14ac:dyDescent="0.25">
      <c r="A34" s="79"/>
      <c r="B34" s="346"/>
      <c r="C34" s="346"/>
      <c r="D34" s="347"/>
      <c r="E34" s="445"/>
      <c r="F34" s="444"/>
      <c r="G34" s="444"/>
      <c r="H34" s="444"/>
      <c r="I34" s="460"/>
      <c r="J34" s="63" t="str">
        <f>IF(AND('Mapa final'!$Y$49="Media",'Mapa final'!$AA$49="Leve"),CONCATENATE("R9C",'Mapa final'!$O$49),"")</f>
        <v/>
      </c>
      <c r="K34" s="64" t="str">
        <f>IF(AND('Mapa final'!$Y$50="Media",'Mapa final'!$AA$50="Leve"),CONCATENATE("R9C",'Mapa final'!$O$50),"")</f>
        <v/>
      </c>
      <c r="L34" s="64" t="str">
        <f>IF(AND('Mapa final'!$Y$51="Media",'Mapa final'!$AA$51="Leve"),CONCATENATE("R9C",'Mapa final'!$O$51),"")</f>
        <v/>
      </c>
      <c r="M34" s="64" t="str">
        <f>IF(AND('Mapa final'!$Y$52="Media",'Mapa final'!$AA$52="Leve"),CONCATENATE("R9C",'Mapa final'!$O$52),"")</f>
        <v/>
      </c>
      <c r="N34" s="64" t="str">
        <f>IF(AND('Mapa final'!$Y$53="Media",'Mapa final'!$AA$53="Leve"),CONCATENATE("R9C",'Mapa final'!$O$53),"")</f>
        <v/>
      </c>
      <c r="O34" s="65" t="str">
        <f>IF(AND('Mapa final'!$Y$54="Media",'Mapa final'!$AA$54="Leve"),CONCATENATE("R9C",'Mapa final'!$O$54),"")</f>
        <v/>
      </c>
      <c r="P34" s="63" t="str">
        <f>IF(AND('Mapa final'!$Y$49="Media",'Mapa final'!$AA$49="Menor"),CONCATENATE("R9C",'Mapa final'!$O$49),"")</f>
        <v/>
      </c>
      <c r="Q34" s="64" t="str">
        <f>IF(AND('Mapa final'!$Y$50="Media",'Mapa final'!$AA$50="Menor"),CONCATENATE("R9C",'Mapa final'!$O$50),"")</f>
        <v/>
      </c>
      <c r="R34" s="64" t="str">
        <f>IF(AND('Mapa final'!$Y$51="Media",'Mapa final'!$AA$51="Menor"),CONCATENATE("R9C",'Mapa final'!$O$51),"")</f>
        <v/>
      </c>
      <c r="S34" s="64" t="str">
        <f>IF(AND('Mapa final'!$Y$52="Media",'Mapa final'!$AA$52="Menor"),CONCATENATE("R9C",'Mapa final'!$O$52),"")</f>
        <v/>
      </c>
      <c r="T34" s="64" t="str">
        <f>IF(AND('Mapa final'!$Y$53="Media",'Mapa final'!$AA$53="Menor"),CONCATENATE("R9C",'Mapa final'!$O$53),"")</f>
        <v/>
      </c>
      <c r="U34" s="65" t="str">
        <f>IF(AND('Mapa final'!$Y$54="Media",'Mapa final'!$AA$54="Menor"),CONCATENATE("R9C",'Mapa final'!$O$54),"")</f>
        <v/>
      </c>
      <c r="V34" s="63" t="str">
        <f>IF(AND('Mapa final'!$Y$49="Media",'Mapa final'!$AA$49="Moderado"),CONCATENATE("R9C",'Mapa final'!$O$49),"")</f>
        <v/>
      </c>
      <c r="W34" s="64" t="str">
        <f>IF(AND('Mapa final'!$Y$50="Media",'Mapa final'!$AA$50="Moderado"),CONCATENATE("R9C",'Mapa final'!$O$50),"")</f>
        <v/>
      </c>
      <c r="X34" s="64" t="str">
        <f>IF(AND('Mapa final'!$Y$51="Media",'Mapa final'!$AA$51="Moderado"),CONCATENATE("R9C",'Mapa final'!$O$51),"")</f>
        <v/>
      </c>
      <c r="Y34" s="64" t="str">
        <f>IF(AND('Mapa final'!$Y$52="Media",'Mapa final'!$AA$52="Moderado"),CONCATENATE("R9C",'Mapa final'!$O$52),"")</f>
        <v/>
      </c>
      <c r="Z34" s="64" t="str">
        <f>IF(AND('Mapa final'!$Y$53="Media",'Mapa final'!$AA$53="Moderado"),CONCATENATE("R9C",'Mapa final'!$O$53),"")</f>
        <v/>
      </c>
      <c r="AA34" s="65" t="str">
        <f>IF(AND('Mapa final'!$Y$54="Media",'Mapa final'!$AA$54="Moderado"),CONCATENATE("R9C",'Mapa final'!$O$54),"")</f>
        <v/>
      </c>
      <c r="AB34" s="48" t="str">
        <f>IF(AND('Mapa final'!$Y$49="Media",'Mapa final'!$AA$49="Mayor"),CONCATENATE("R9C",'Mapa final'!$O$49),"")</f>
        <v/>
      </c>
      <c r="AC34" s="49" t="str">
        <f>IF(AND('Mapa final'!$Y$50="Media",'Mapa final'!$AA$50="Mayor"),CONCATENATE("R9C",'Mapa final'!$O$50),"")</f>
        <v/>
      </c>
      <c r="AD34" s="49" t="str">
        <f>IF(AND('Mapa final'!$Y$51="Media",'Mapa final'!$AA$51="Mayor"),CONCATENATE("R9C",'Mapa final'!$O$51),"")</f>
        <v/>
      </c>
      <c r="AE34" s="49" t="str">
        <f>IF(AND('Mapa final'!$Y$52="Media",'Mapa final'!$AA$52="Mayor"),CONCATENATE("R9C",'Mapa final'!$O$52),"")</f>
        <v/>
      </c>
      <c r="AF34" s="49" t="str">
        <f>IF(AND('Mapa final'!$Y$53="Media",'Mapa final'!$AA$53="Mayor"),CONCATENATE("R9C",'Mapa final'!$O$53),"")</f>
        <v/>
      </c>
      <c r="AG34" s="50" t="str">
        <f>IF(AND('Mapa final'!$Y$54="Media",'Mapa final'!$AA$54="Mayor"),CONCATENATE("R9C",'Mapa final'!$O$54),"")</f>
        <v/>
      </c>
      <c r="AH34" s="51" t="str">
        <f>IF(AND('Mapa final'!$Y$49="Media",'Mapa final'!$AA$49="Catastrófico"),CONCATENATE("R9C",'Mapa final'!$O$49),"")</f>
        <v/>
      </c>
      <c r="AI34" s="52" t="str">
        <f>IF(AND('Mapa final'!$Y$50="Media",'Mapa final'!$AA$50="Catastrófico"),CONCATENATE("R9C",'Mapa final'!$O$50),"")</f>
        <v/>
      </c>
      <c r="AJ34" s="52" t="str">
        <f>IF(AND('Mapa final'!$Y$51="Media",'Mapa final'!$AA$51="Catastrófico"),CONCATENATE("R9C",'Mapa final'!$O$51),"")</f>
        <v/>
      </c>
      <c r="AK34" s="52" t="str">
        <f>IF(AND('Mapa final'!$Y$52="Media",'Mapa final'!$AA$52="Catastrófico"),CONCATENATE("R9C",'Mapa final'!$O$52),"")</f>
        <v/>
      </c>
      <c r="AL34" s="52" t="str">
        <f>IF(AND('Mapa final'!$Y$53="Media",'Mapa final'!$AA$53="Catastrófico"),CONCATENATE("R9C",'Mapa final'!$O$53),"")</f>
        <v/>
      </c>
      <c r="AM34" s="53" t="str">
        <f>IF(AND('Mapa final'!$Y$54="Media",'Mapa final'!$AA$54="Catastrófico"),CONCATENATE("R9C",'Mapa final'!$O$54),"")</f>
        <v/>
      </c>
      <c r="AN34" s="79"/>
      <c r="AO34" s="474"/>
      <c r="AP34" s="475"/>
      <c r="AQ34" s="475"/>
      <c r="AR34" s="475"/>
      <c r="AS34" s="475"/>
      <c r="AT34" s="476"/>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row>
    <row r="35" spans="1:80" ht="15.75" customHeight="1" thickBot="1" x14ac:dyDescent="0.3">
      <c r="A35" s="79"/>
      <c r="B35" s="346"/>
      <c r="C35" s="346"/>
      <c r="D35" s="347"/>
      <c r="E35" s="446"/>
      <c r="F35" s="447"/>
      <c r="G35" s="447"/>
      <c r="H35" s="447"/>
      <c r="I35" s="461"/>
      <c r="J35" s="63" t="str">
        <f>IF(AND('Mapa final'!$Y$55="Media",'Mapa final'!$AA$55="Leve"),CONCATENATE("R10C",'Mapa final'!$O$55),"")</f>
        <v/>
      </c>
      <c r="K35" s="64" t="str">
        <f>IF(AND('Mapa final'!$Y$56="Media",'Mapa final'!$AA$56="Leve"),CONCATENATE("R10C",'Mapa final'!$O$56),"")</f>
        <v/>
      </c>
      <c r="L35" s="64" t="str">
        <f>IF(AND('Mapa final'!$Y$57="Media",'Mapa final'!$AA$57="Leve"),CONCATENATE("R10C",'Mapa final'!$O$57),"")</f>
        <v/>
      </c>
      <c r="M35" s="64" t="str">
        <f>IF(AND('Mapa final'!$Y$58="Media",'Mapa final'!$AA$58="Leve"),CONCATENATE("R10C",'Mapa final'!$O$58),"")</f>
        <v/>
      </c>
      <c r="N35" s="64" t="str">
        <f>IF(AND('Mapa final'!$Y$59="Media",'Mapa final'!$AA$59="Leve"),CONCATENATE("R10C",'Mapa final'!$O$59),"")</f>
        <v/>
      </c>
      <c r="O35" s="65" t="str">
        <f>IF(AND('Mapa final'!$Y$60="Media",'Mapa final'!$AA$60="Leve"),CONCATENATE("R10C",'Mapa final'!$O$60),"")</f>
        <v/>
      </c>
      <c r="P35" s="63" t="str">
        <f>IF(AND('Mapa final'!$Y$55="Media",'Mapa final'!$AA$55="Menor"),CONCATENATE("R10C",'Mapa final'!$O$55),"")</f>
        <v/>
      </c>
      <c r="Q35" s="64" t="str">
        <f>IF(AND('Mapa final'!$Y$56="Media",'Mapa final'!$AA$56="Menor"),CONCATENATE("R10C",'Mapa final'!$O$56),"")</f>
        <v/>
      </c>
      <c r="R35" s="64" t="str">
        <f>IF(AND('Mapa final'!$Y$57="Media",'Mapa final'!$AA$57="Menor"),CONCATENATE("R10C",'Mapa final'!$O$57),"")</f>
        <v/>
      </c>
      <c r="S35" s="64" t="str">
        <f>IF(AND('Mapa final'!$Y$58="Media",'Mapa final'!$AA$58="Menor"),CONCATENATE("R10C",'Mapa final'!$O$58),"")</f>
        <v/>
      </c>
      <c r="T35" s="64" t="str">
        <f>IF(AND('Mapa final'!$Y$59="Media",'Mapa final'!$AA$59="Menor"),CONCATENATE("R10C",'Mapa final'!$O$59),"")</f>
        <v/>
      </c>
      <c r="U35" s="65" t="str">
        <f>IF(AND('Mapa final'!$Y$60="Media",'Mapa final'!$AA$60="Menor"),CONCATENATE("R10C",'Mapa final'!$O$60),"")</f>
        <v/>
      </c>
      <c r="V35" s="63" t="str">
        <f>IF(AND('Mapa final'!$Y$55="Media",'Mapa final'!$AA$55="Moderado"),CONCATENATE("R10C",'Mapa final'!$O$55),"")</f>
        <v/>
      </c>
      <c r="W35" s="64" t="str">
        <f>IF(AND('Mapa final'!$Y$56="Media",'Mapa final'!$AA$56="Moderado"),CONCATENATE("R10C",'Mapa final'!$O$56),"")</f>
        <v/>
      </c>
      <c r="X35" s="64" t="str">
        <f>IF(AND('Mapa final'!$Y$57="Media",'Mapa final'!$AA$57="Moderado"),CONCATENATE("R10C",'Mapa final'!$O$57),"")</f>
        <v/>
      </c>
      <c r="Y35" s="64" t="str">
        <f>IF(AND('Mapa final'!$Y$58="Media",'Mapa final'!$AA$58="Moderado"),CONCATENATE("R10C",'Mapa final'!$O$58),"")</f>
        <v/>
      </c>
      <c r="Z35" s="64" t="str">
        <f>IF(AND('Mapa final'!$Y$59="Media",'Mapa final'!$AA$59="Moderado"),CONCATENATE("R10C",'Mapa final'!$O$59),"")</f>
        <v/>
      </c>
      <c r="AA35" s="65" t="str">
        <f>IF(AND('Mapa final'!$Y$60="Media",'Mapa final'!$AA$60="Moderado"),CONCATENATE("R10C",'Mapa final'!$O$60),"")</f>
        <v/>
      </c>
      <c r="AB35" s="54" t="str">
        <f>IF(AND('Mapa final'!$Y$55="Media",'Mapa final'!$AA$55="Mayor"),CONCATENATE("R10C",'Mapa final'!$O$55),"")</f>
        <v/>
      </c>
      <c r="AC35" s="55" t="str">
        <f>IF(AND('Mapa final'!$Y$56="Media",'Mapa final'!$AA$56="Mayor"),CONCATENATE("R10C",'Mapa final'!$O$56),"")</f>
        <v/>
      </c>
      <c r="AD35" s="55" t="str">
        <f>IF(AND('Mapa final'!$Y$57="Media",'Mapa final'!$AA$57="Mayor"),CONCATENATE("R10C",'Mapa final'!$O$57),"")</f>
        <v/>
      </c>
      <c r="AE35" s="55" t="str">
        <f>IF(AND('Mapa final'!$Y$58="Media",'Mapa final'!$AA$58="Mayor"),CONCATENATE("R10C",'Mapa final'!$O$58),"")</f>
        <v/>
      </c>
      <c r="AF35" s="55" t="str">
        <f>IF(AND('Mapa final'!$Y$59="Media",'Mapa final'!$AA$59="Mayor"),CONCATENATE("R10C",'Mapa final'!$O$59),"")</f>
        <v/>
      </c>
      <c r="AG35" s="56" t="str">
        <f>IF(AND('Mapa final'!$Y$60="Media",'Mapa final'!$AA$60="Mayor"),CONCATENATE("R10C",'Mapa final'!$O$60),"")</f>
        <v/>
      </c>
      <c r="AH35" s="57" t="str">
        <f>IF(AND('Mapa final'!$Y$55="Media",'Mapa final'!$AA$55="Catastrófico"),CONCATENATE("R10C",'Mapa final'!$O$55),"")</f>
        <v/>
      </c>
      <c r="AI35" s="58" t="str">
        <f>IF(AND('Mapa final'!$Y$56="Media",'Mapa final'!$AA$56="Catastrófico"),CONCATENATE("R10C",'Mapa final'!$O$56),"")</f>
        <v/>
      </c>
      <c r="AJ35" s="58" t="str">
        <f>IF(AND('Mapa final'!$Y$57="Media",'Mapa final'!$AA$57="Catastrófico"),CONCATENATE("R10C",'Mapa final'!$O$57),"")</f>
        <v/>
      </c>
      <c r="AK35" s="58" t="str">
        <f>IF(AND('Mapa final'!$Y$58="Media",'Mapa final'!$AA$58="Catastrófico"),CONCATENATE("R10C",'Mapa final'!$O$58),"")</f>
        <v/>
      </c>
      <c r="AL35" s="58" t="str">
        <f>IF(AND('Mapa final'!$Y$59="Media",'Mapa final'!$AA$59="Catastrófico"),CONCATENATE("R10C",'Mapa final'!$O$59),"")</f>
        <v/>
      </c>
      <c r="AM35" s="59" t="str">
        <f>IF(AND('Mapa final'!$Y$60="Media",'Mapa final'!$AA$60="Catastrófico"),CONCATENATE("R10C",'Mapa final'!$O$60),"")</f>
        <v/>
      </c>
      <c r="AN35" s="79"/>
      <c r="AO35" s="477"/>
      <c r="AP35" s="478"/>
      <c r="AQ35" s="478"/>
      <c r="AR35" s="478"/>
      <c r="AS35" s="478"/>
      <c r="AT35" s="4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row>
    <row r="36" spans="1:80" ht="15" customHeight="1" x14ac:dyDescent="0.25">
      <c r="A36" s="79"/>
      <c r="B36" s="346"/>
      <c r="C36" s="346"/>
      <c r="D36" s="347"/>
      <c r="E36" s="441" t="s">
        <v>98</v>
      </c>
      <c r="F36" s="442"/>
      <c r="G36" s="442"/>
      <c r="H36" s="442"/>
      <c r="I36" s="442"/>
      <c r="J36" s="69" t="str">
        <f>IF(AND('Mapa final'!$Y$24="Baja",'Mapa final'!$AA$24="Leve"),CONCATENATE("R1C",'Mapa final'!$O$24),"")</f>
        <v/>
      </c>
      <c r="K36" s="70" t="str">
        <f>IF(AND('Mapa final'!$Y$25="Baja",'Mapa final'!$AA$25="Leve"),CONCATENATE("R1C",'Mapa final'!$O$25),"")</f>
        <v/>
      </c>
      <c r="L36" s="70" t="str">
        <f>IF(AND('Mapa final'!$Y$26="Baja",'Mapa final'!$AA$26="Leve"),CONCATENATE("R1C",'Mapa final'!$O$26),"")</f>
        <v/>
      </c>
      <c r="M36" s="70" t="e">
        <f>IF(AND('Mapa final'!#REF!="Baja",'Mapa final'!#REF!="Leve"),CONCATENATE("R1C",'Mapa final'!#REF!),"")</f>
        <v>#REF!</v>
      </c>
      <c r="N36" s="70" t="e">
        <f>IF(AND('Mapa final'!#REF!="Baja",'Mapa final'!#REF!="Leve"),CONCATENATE("R1C",'Mapa final'!#REF!),"")</f>
        <v>#REF!</v>
      </c>
      <c r="O36" s="71" t="e">
        <f>IF(AND('Mapa final'!#REF!="Baja",'Mapa final'!#REF!="Leve"),CONCATENATE("R1C",'Mapa final'!#REF!),"")</f>
        <v>#REF!</v>
      </c>
      <c r="P36" s="60" t="str">
        <f>IF(AND('Mapa final'!$Y$24="Baja",'Mapa final'!$AA$24="Menor"),CONCATENATE("R1C",'Mapa final'!$O$24),"")</f>
        <v/>
      </c>
      <c r="Q36" s="61" t="str">
        <f>IF(AND('Mapa final'!$Y$25="Baja",'Mapa final'!$AA$25="Menor"),CONCATENATE("R1C",'Mapa final'!$O$25),"")</f>
        <v/>
      </c>
      <c r="R36" s="61" t="str">
        <f>IF(AND('Mapa final'!$Y$26="Baja",'Mapa final'!$AA$26="Menor"),CONCATENATE("R1C",'Mapa final'!$O$26),"")</f>
        <v/>
      </c>
      <c r="S36" s="61" t="e">
        <f>IF(AND('Mapa final'!#REF!="Baja",'Mapa final'!#REF!="Menor"),CONCATENATE("R1C",'Mapa final'!#REF!),"")</f>
        <v>#REF!</v>
      </c>
      <c r="T36" s="61" t="e">
        <f>IF(AND('Mapa final'!#REF!="Baja",'Mapa final'!#REF!="Menor"),CONCATENATE("R1C",'Mapa final'!#REF!),"")</f>
        <v>#REF!</v>
      </c>
      <c r="U36" s="62" t="e">
        <f>IF(AND('Mapa final'!#REF!="Baja",'Mapa final'!#REF!="Menor"),CONCATENATE("R1C",'Mapa final'!#REF!),"")</f>
        <v>#REF!</v>
      </c>
      <c r="V36" s="60" t="str">
        <f>IF(AND('Mapa final'!$Y$24="Baja",'Mapa final'!$AA$24="Moderado"),CONCATENATE("R1C",'Mapa final'!$O$24),"")</f>
        <v/>
      </c>
      <c r="W36" s="61" t="str">
        <f>IF(AND('Mapa final'!$Y$25="Baja",'Mapa final'!$AA$25="Moderado"),CONCATENATE("R1C",'Mapa final'!$O$25),"")</f>
        <v/>
      </c>
      <c r="X36" s="61" t="str">
        <f>IF(AND('Mapa final'!$Y$26="Baja",'Mapa final'!$AA$26="Moderado"),CONCATENATE("R1C",'Mapa final'!$O$26),"")</f>
        <v/>
      </c>
      <c r="Y36" s="61" t="e">
        <f>IF(AND('Mapa final'!#REF!="Baja",'Mapa final'!#REF!="Moderado"),CONCATENATE("R1C",'Mapa final'!#REF!),"")</f>
        <v>#REF!</v>
      </c>
      <c r="Z36" s="61" t="e">
        <f>IF(AND('Mapa final'!#REF!="Baja",'Mapa final'!#REF!="Moderado"),CONCATENATE("R1C",'Mapa final'!#REF!),"")</f>
        <v>#REF!</v>
      </c>
      <c r="AA36" s="62" t="e">
        <f>IF(AND('Mapa final'!#REF!="Baja",'Mapa final'!#REF!="Moderado"),CONCATENATE("R1C",'Mapa final'!#REF!),"")</f>
        <v>#REF!</v>
      </c>
      <c r="AB36" s="42" t="str">
        <f>IF(AND('Mapa final'!$Y$24="Baja",'Mapa final'!$AA$24="Mayor"),CONCATENATE("R1C",'Mapa final'!$O$24),"")</f>
        <v/>
      </c>
      <c r="AC36" s="43" t="str">
        <f>IF(AND('Mapa final'!$Y$25="Baja",'Mapa final'!$AA$25="Mayor"),CONCATENATE("R1C",'Mapa final'!$O$25),"")</f>
        <v/>
      </c>
      <c r="AD36" s="43" t="str">
        <f>IF(AND('Mapa final'!$Y$26="Baja",'Mapa final'!$AA$26="Mayor"),CONCATENATE("R1C",'Mapa final'!$O$26),"")</f>
        <v/>
      </c>
      <c r="AE36" s="43" t="e">
        <f>IF(AND('Mapa final'!#REF!="Baja",'Mapa final'!#REF!="Mayor"),CONCATENATE("R1C",'Mapa final'!#REF!),"")</f>
        <v>#REF!</v>
      </c>
      <c r="AF36" s="43" t="e">
        <f>IF(AND('Mapa final'!#REF!="Baja",'Mapa final'!#REF!="Mayor"),CONCATENATE("R1C",'Mapa final'!#REF!),"")</f>
        <v>#REF!</v>
      </c>
      <c r="AG36" s="44" t="e">
        <f>IF(AND('Mapa final'!#REF!="Baja",'Mapa final'!#REF!="Mayor"),CONCATENATE("R1C",'Mapa final'!#REF!),"")</f>
        <v>#REF!</v>
      </c>
      <c r="AH36" s="45" t="str">
        <f>IF(AND('Mapa final'!$Y$24="Baja",'Mapa final'!$AA$24="Catastrófico"),CONCATENATE("R1C",'Mapa final'!$O$24),"")</f>
        <v/>
      </c>
      <c r="AI36" s="46" t="str">
        <f>IF(AND('Mapa final'!$Y$25="Baja",'Mapa final'!$AA$25="Catastrófico"),CONCATENATE("R1C",'Mapa final'!$O$25),"")</f>
        <v/>
      </c>
      <c r="AJ36" s="46" t="str">
        <f>IF(AND('Mapa final'!$Y$26="Baja",'Mapa final'!$AA$26="Catastrófico"),CONCATENATE("R1C",'Mapa final'!$O$26),"")</f>
        <v/>
      </c>
      <c r="AK36" s="46" t="e">
        <f>IF(AND('Mapa final'!#REF!="Baja",'Mapa final'!#REF!="Catastrófico"),CONCATENATE("R1C",'Mapa final'!#REF!),"")</f>
        <v>#REF!</v>
      </c>
      <c r="AL36" s="46" t="e">
        <f>IF(AND('Mapa final'!#REF!="Baja",'Mapa final'!#REF!="Catastrófico"),CONCATENATE("R1C",'Mapa final'!#REF!),"")</f>
        <v>#REF!</v>
      </c>
      <c r="AM36" s="47" t="e">
        <f>IF(AND('Mapa final'!#REF!="Baja",'Mapa final'!#REF!="Catastrófico"),CONCATENATE("R1C",'Mapa final'!#REF!),"")</f>
        <v>#REF!</v>
      </c>
      <c r="AN36" s="79"/>
      <c r="AO36" s="462" t="s">
        <v>99</v>
      </c>
      <c r="AP36" s="463"/>
      <c r="AQ36" s="463"/>
      <c r="AR36" s="463"/>
      <c r="AS36" s="463"/>
      <c r="AT36" s="464"/>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row>
    <row r="37" spans="1:80" ht="15" customHeight="1" x14ac:dyDescent="0.25">
      <c r="A37" s="79"/>
      <c r="B37" s="346"/>
      <c r="C37" s="346"/>
      <c r="D37" s="347"/>
      <c r="E37" s="443"/>
      <c r="F37" s="444"/>
      <c r="G37" s="444"/>
      <c r="H37" s="444"/>
      <c r="I37" s="444"/>
      <c r="J37" s="72" t="str">
        <f>IF(AND('Mapa final'!$Y$27="Baja",'Mapa final'!$AA$27="Leve"),CONCATENATE("R2C",'Mapa final'!$O$27),"")</f>
        <v/>
      </c>
      <c r="K37" s="73" t="str">
        <f>IF(AND('Mapa final'!$Y$28="Baja",'Mapa final'!$AA$28="Leve"),CONCATENATE("R2C",'Mapa final'!$O$28),"")</f>
        <v/>
      </c>
      <c r="L37" s="73" t="str">
        <f>IF(AND('Mapa final'!$Y$29="Baja",'Mapa final'!$AA$29="Leve"),CONCATENATE("R2C",'Mapa final'!$O$29),"")</f>
        <v/>
      </c>
      <c r="M37" s="73" t="e">
        <f>IF(AND('Mapa final'!#REF!="Baja",'Mapa final'!#REF!="Leve"),CONCATENATE("R2C",'Mapa final'!#REF!),"")</f>
        <v>#REF!</v>
      </c>
      <c r="N37" s="73" t="e">
        <f>IF(AND('Mapa final'!#REF!="Baja",'Mapa final'!#REF!="Leve"),CONCATENATE("R2C",'Mapa final'!#REF!),"")</f>
        <v>#REF!</v>
      </c>
      <c r="O37" s="74" t="e">
        <f>IF(AND('Mapa final'!#REF!="Baja",'Mapa final'!#REF!="Leve"),CONCATENATE("R2C",'Mapa final'!#REF!),"")</f>
        <v>#REF!</v>
      </c>
      <c r="P37" s="63" t="str">
        <f>IF(AND('Mapa final'!$Y$27="Baja",'Mapa final'!$AA$27="Menor"),CONCATENATE("R2C",'Mapa final'!$O$27),"")</f>
        <v/>
      </c>
      <c r="Q37" s="64" t="str">
        <f>IF(AND('Mapa final'!$Y$28="Baja",'Mapa final'!$AA$28="Menor"),CONCATENATE("R2C",'Mapa final'!$O$28),"")</f>
        <v/>
      </c>
      <c r="R37" s="64" t="str">
        <f>IF(AND('Mapa final'!$Y$29="Baja",'Mapa final'!$AA$29="Menor"),CONCATENATE("R2C",'Mapa final'!$O$29),"")</f>
        <v/>
      </c>
      <c r="S37" s="64" t="e">
        <f>IF(AND('Mapa final'!#REF!="Baja",'Mapa final'!#REF!="Menor"),CONCATENATE("R2C",'Mapa final'!#REF!),"")</f>
        <v>#REF!</v>
      </c>
      <c r="T37" s="64" t="e">
        <f>IF(AND('Mapa final'!#REF!="Baja",'Mapa final'!#REF!="Menor"),CONCATENATE("R2C",'Mapa final'!#REF!),"")</f>
        <v>#REF!</v>
      </c>
      <c r="U37" s="65" t="e">
        <f>IF(AND('Mapa final'!#REF!="Baja",'Mapa final'!#REF!="Menor"),CONCATENATE("R2C",'Mapa final'!#REF!),"")</f>
        <v>#REF!</v>
      </c>
      <c r="V37" s="63" t="str">
        <f>IF(AND('Mapa final'!$Y$27="Baja",'Mapa final'!$AA$27="Moderado"),CONCATENATE("R2C",'Mapa final'!$O$27),"")</f>
        <v/>
      </c>
      <c r="W37" s="64" t="str">
        <f>IF(AND('Mapa final'!$Y$28="Baja",'Mapa final'!$AA$28="Moderado"),CONCATENATE("R2C",'Mapa final'!$O$28),"")</f>
        <v>R2C2</v>
      </c>
      <c r="X37" s="64" t="str">
        <f>IF(AND('Mapa final'!$Y$29="Baja",'Mapa final'!$AA$29="Moderado"),CONCATENATE("R2C",'Mapa final'!$O$29),"")</f>
        <v>R2C3</v>
      </c>
      <c r="Y37" s="64" t="e">
        <f>IF(AND('Mapa final'!#REF!="Baja",'Mapa final'!#REF!="Moderado"),CONCATENATE("R2C",'Mapa final'!#REF!),"")</f>
        <v>#REF!</v>
      </c>
      <c r="Z37" s="64" t="e">
        <f>IF(AND('Mapa final'!#REF!="Baja",'Mapa final'!#REF!="Moderado"),CONCATENATE("R2C",'Mapa final'!#REF!),"")</f>
        <v>#REF!</v>
      </c>
      <c r="AA37" s="65" t="e">
        <f>IF(AND('Mapa final'!#REF!="Baja",'Mapa final'!#REF!="Moderado"),CONCATENATE("R2C",'Mapa final'!#REF!),"")</f>
        <v>#REF!</v>
      </c>
      <c r="AB37" s="48" t="str">
        <f>IF(AND('Mapa final'!$Y$27="Baja",'Mapa final'!$AA$27="Mayor"),CONCATENATE("R2C",'Mapa final'!$O$27),"")</f>
        <v/>
      </c>
      <c r="AC37" s="49" t="str">
        <f>IF(AND('Mapa final'!$Y$28="Baja",'Mapa final'!$AA$28="Mayor"),CONCATENATE("R2C",'Mapa final'!$O$28),"")</f>
        <v/>
      </c>
      <c r="AD37" s="49" t="str">
        <f>IF(AND('Mapa final'!$Y$29="Baja",'Mapa final'!$AA$29="Mayor"),CONCATENATE("R2C",'Mapa final'!$O$29),"")</f>
        <v/>
      </c>
      <c r="AE37" s="49" t="e">
        <f>IF(AND('Mapa final'!#REF!="Baja",'Mapa final'!#REF!="Mayor"),CONCATENATE("R2C",'Mapa final'!#REF!),"")</f>
        <v>#REF!</v>
      </c>
      <c r="AF37" s="49" t="e">
        <f>IF(AND('Mapa final'!#REF!="Baja",'Mapa final'!#REF!="Mayor"),CONCATENATE("R2C",'Mapa final'!#REF!),"")</f>
        <v>#REF!</v>
      </c>
      <c r="AG37" s="50" t="e">
        <f>IF(AND('Mapa final'!#REF!="Baja",'Mapa final'!#REF!="Mayor"),CONCATENATE("R2C",'Mapa final'!#REF!),"")</f>
        <v>#REF!</v>
      </c>
      <c r="AH37" s="51" t="str">
        <f>IF(AND('Mapa final'!$Y$27="Baja",'Mapa final'!$AA$27="Catastrófico"),CONCATENATE("R2C",'Mapa final'!$O$27),"")</f>
        <v/>
      </c>
      <c r="AI37" s="52" t="str">
        <f>IF(AND('Mapa final'!$Y$28="Baja",'Mapa final'!$AA$28="Catastrófico"),CONCATENATE("R2C",'Mapa final'!$O$28),"")</f>
        <v/>
      </c>
      <c r="AJ37" s="52" t="str">
        <f>IF(AND('Mapa final'!$Y$29="Baja",'Mapa final'!$AA$29="Catastrófico"),CONCATENATE("R2C",'Mapa final'!$O$29),"")</f>
        <v/>
      </c>
      <c r="AK37" s="52" t="e">
        <f>IF(AND('Mapa final'!#REF!="Baja",'Mapa final'!#REF!="Catastrófico"),CONCATENATE("R2C",'Mapa final'!#REF!),"")</f>
        <v>#REF!</v>
      </c>
      <c r="AL37" s="52" t="e">
        <f>IF(AND('Mapa final'!#REF!="Baja",'Mapa final'!#REF!="Catastrófico"),CONCATENATE("R2C",'Mapa final'!#REF!),"")</f>
        <v>#REF!</v>
      </c>
      <c r="AM37" s="53" t="e">
        <f>IF(AND('Mapa final'!#REF!="Baja",'Mapa final'!#REF!="Catastrófico"),CONCATENATE("R2C",'Mapa final'!#REF!),"")</f>
        <v>#REF!</v>
      </c>
      <c r="AN37" s="79"/>
      <c r="AO37" s="465"/>
      <c r="AP37" s="466"/>
      <c r="AQ37" s="466"/>
      <c r="AR37" s="466"/>
      <c r="AS37" s="466"/>
      <c r="AT37" s="467"/>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row>
    <row r="38" spans="1:80" ht="15" customHeight="1" x14ac:dyDescent="0.25">
      <c r="A38" s="79"/>
      <c r="B38" s="346"/>
      <c r="C38" s="346"/>
      <c r="D38" s="347"/>
      <c r="E38" s="445"/>
      <c r="F38" s="444"/>
      <c r="G38" s="444"/>
      <c r="H38" s="444"/>
      <c r="I38" s="444"/>
      <c r="J38" s="72" t="str">
        <f>IF(AND('Mapa final'!$Y$30="Baja",'Mapa final'!$AA$30="Leve"),CONCATENATE("R3C",'Mapa final'!$O$30),"")</f>
        <v/>
      </c>
      <c r="K38" s="73" t="e">
        <f>IF(AND('Mapa final'!#REF!="Baja",'Mapa final'!#REF!="Leve"),CONCATENATE("R3C",'Mapa final'!#REF!),"")</f>
        <v>#REF!</v>
      </c>
      <c r="L38" s="73" t="e">
        <f>IF(AND('Mapa final'!#REF!="Baja",'Mapa final'!#REF!="Leve"),CONCATENATE("R3C",'Mapa final'!#REF!),"")</f>
        <v>#REF!</v>
      </c>
      <c r="M38" s="73" t="e">
        <f>IF(AND('Mapa final'!#REF!="Baja",'Mapa final'!#REF!="Leve"),CONCATENATE("R3C",'Mapa final'!#REF!),"")</f>
        <v>#REF!</v>
      </c>
      <c r="N38" s="73" t="e">
        <f>IF(AND('Mapa final'!#REF!="Baja",'Mapa final'!#REF!="Leve"),CONCATENATE("R3C",'Mapa final'!#REF!),"")</f>
        <v>#REF!</v>
      </c>
      <c r="O38" s="74" t="e">
        <f>IF(AND('Mapa final'!#REF!="Baja",'Mapa final'!#REF!="Leve"),CONCATENATE("R3C",'Mapa final'!#REF!),"")</f>
        <v>#REF!</v>
      </c>
      <c r="P38" s="63" t="str">
        <f>IF(AND('Mapa final'!$Y$30="Baja",'Mapa final'!$AA$30="Menor"),CONCATENATE("R3C",'Mapa final'!$O$30),"")</f>
        <v/>
      </c>
      <c r="Q38" s="64" t="e">
        <f>IF(AND('Mapa final'!#REF!="Baja",'Mapa final'!#REF!="Menor"),CONCATENATE("R3C",'Mapa final'!#REF!),"")</f>
        <v>#REF!</v>
      </c>
      <c r="R38" s="64" t="e">
        <f>IF(AND('Mapa final'!#REF!="Baja",'Mapa final'!#REF!="Menor"),CONCATENATE("R3C",'Mapa final'!#REF!),"")</f>
        <v>#REF!</v>
      </c>
      <c r="S38" s="64" t="e">
        <f>IF(AND('Mapa final'!#REF!="Baja",'Mapa final'!#REF!="Menor"),CONCATENATE("R3C",'Mapa final'!#REF!),"")</f>
        <v>#REF!</v>
      </c>
      <c r="T38" s="64" t="e">
        <f>IF(AND('Mapa final'!#REF!="Baja",'Mapa final'!#REF!="Menor"),CONCATENATE("R3C",'Mapa final'!#REF!),"")</f>
        <v>#REF!</v>
      </c>
      <c r="U38" s="65" t="e">
        <f>IF(AND('Mapa final'!#REF!="Baja",'Mapa final'!#REF!="Menor"),CONCATENATE("R3C",'Mapa final'!#REF!),"")</f>
        <v>#REF!</v>
      </c>
      <c r="V38" s="63" t="str">
        <f>IF(AND('Mapa final'!$Y$30="Baja",'Mapa final'!$AA$30="Moderado"),CONCATENATE("R3C",'Mapa final'!$O$30),"")</f>
        <v/>
      </c>
      <c r="W38" s="64" t="e">
        <f>IF(AND('Mapa final'!#REF!="Baja",'Mapa final'!#REF!="Moderado"),CONCATENATE("R3C",'Mapa final'!#REF!),"")</f>
        <v>#REF!</v>
      </c>
      <c r="X38" s="64" t="e">
        <f>IF(AND('Mapa final'!#REF!="Baja",'Mapa final'!#REF!="Moderado"),CONCATENATE("R3C",'Mapa final'!#REF!),"")</f>
        <v>#REF!</v>
      </c>
      <c r="Y38" s="64" t="e">
        <f>IF(AND('Mapa final'!#REF!="Baja",'Mapa final'!#REF!="Moderado"),CONCATENATE("R3C",'Mapa final'!#REF!),"")</f>
        <v>#REF!</v>
      </c>
      <c r="Z38" s="64" t="e">
        <f>IF(AND('Mapa final'!#REF!="Baja",'Mapa final'!#REF!="Moderado"),CONCATENATE("R3C",'Mapa final'!#REF!),"")</f>
        <v>#REF!</v>
      </c>
      <c r="AA38" s="65" t="e">
        <f>IF(AND('Mapa final'!#REF!="Baja",'Mapa final'!#REF!="Moderado"),CONCATENATE("R3C",'Mapa final'!#REF!),"")</f>
        <v>#REF!</v>
      </c>
      <c r="AB38" s="48" t="str">
        <f>IF(AND('Mapa final'!$Y$30="Baja",'Mapa final'!$AA$30="Mayor"),CONCATENATE("R3C",'Mapa final'!$O$30),"")</f>
        <v/>
      </c>
      <c r="AC38" s="49" t="e">
        <f>IF(AND('Mapa final'!#REF!="Baja",'Mapa final'!#REF!="Mayor"),CONCATENATE("R3C",'Mapa final'!#REF!),"")</f>
        <v>#REF!</v>
      </c>
      <c r="AD38" s="49" t="e">
        <f>IF(AND('Mapa final'!#REF!="Baja",'Mapa final'!#REF!="Mayor"),CONCATENATE("R3C",'Mapa final'!#REF!),"")</f>
        <v>#REF!</v>
      </c>
      <c r="AE38" s="49" t="e">
        <f>IF(AND('Mapa final'!#REF!="Baja",'Mapa final'!#REF!="Mayor"),CONCATENATE("R3C",'Mapa final'!#REF!),"")</f>
        <v>#REF!</v>
      </c>
      <c r="AF38" s="49" t="e">
        <f>IF(AND('Mapa final'!#REF!="Baja",'Mapa final'!#REF!="Mayor"),CONCATENATE("R3C",'Mapa final'!#REF!),"")</f>
        <v>#REF!</v>
      </c>
      <c r="AG38" s="50" t="e">
        <f>IF(AND('Mapa final'!#REF!="Baja",'Mapa final'!#REF!="Mayor"),CONCATENATE("R3C",'Mapa final'!#REF!),"")</f>
        <v>#REF!</v>
      </c>
      <c r="AH38" s="51" t="str">
        <f>IF(AND('Mapa final'!$Y$30="Baja",'Mapa final'!$AA$30="Catastrófico"),CONCATENATE("R3C",'Mapa final'!$O$30),"")</f>
        <v/>
      </c>
      <c r="AI38" s="52" t="e">
        <f>IF(AND('Mapa final'!#REF!="Baja",'Mapa final'!#REF!="Catastrófico"),CONCATENATE("R3C",'Mapa final'!#REF!),"")</f>
        <v>#REF!</v>
      </c>
      <c r="AJ38" s="52" t="e">
        <f>IF(AND('Mapa final'!#REF!="Baja",'Mapa final'!#REF!="Catastrófico"),CONCATENATE("R3C",'Mapa final'!#REF!),"")</f>
        <v>#REF!</v>
      </c>
      <c r="AK38" s="52" t="e">
        <f>IF(AND('Mapa final'!#REF!="Baja",'Mapa final'!#REF!="Catastrófico"),CONCATENATE("R3C",'Mapa final'!#REF!),"")</f>
        <v>#REF!</v>
      </c>
      <c r="AL38" s="52" t="e">
        <f>IF(AND('Mapa final'!#REF!="Baja",'Mapa final'!#REF!="Catastrófico"),CONCATENATE("R3C",'Mapa final'!#REF!),"")</f>
        <v>#REF!</v>
      </c>
      <c r="AM38" s="53" t="e">
        <f>IF(AND('Mapa final'!#REF!="Baja",'Mapa final'!#REF!="Catastrófico"),CONCATENATE("R3C",'Mapa final'!#REF!),"")</f>
        <v>#REF!</v>
      </c>
      <c r="AN38" s="79"/>
      <c r="AO38" s="465"/>
      <c r="AP38" s="466"/>
      <c r="AQ38" s="466"/>
      <c r="AR38" s="466"/>
      <c r="AS38" s="466"/>
      <c r="AT38" s="467"/>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row>
    <row r="39" spans="1:80" ht="15" customHeight="1" x14ac:dyDescent="0.25">
      <c r="A39" s="79"/>
      <c r="B39" s="346"/>
      <c r="C39" s="346"/>
      <c r="D39" s="347"/>
      <c r="E39" s="445"/>
      <c r="F39" s="444"/>
      <c r="G39" s="444"/>
      <c r="H39" s="444"/>
      <c r="I39" s="444"/>
      <c r="J39" s="72" t="str">
        <f>IF(AND('Mapa final'!$Y$31="Baja",'Mapa final'!$AA$31="Leve"),CONCATENATE("R4C",'Mapa final'!$O$31),"")</f>
        <v/>
      </c>
      <c r="K39" s="73" t="str">
        <f>IF(AND('Mapa final'!$Y$32="Baja",'Mapa final'!$AA$32="Leve"),CONCATENATE("R4C",'Mapa final'!$O$32),"")</f>
        <v/>
      </c>
      <c r="L39" s="73" t="e">
        <f>IF(AND('Mapa final'!#REF!="Baja",'Mapa final'!#REF!="Leve"),CONCATENATE("R4C",'Mapa final'!#REF!),"")</f>
        <v>#REF!</v>
      </c>
      <c r="M39" s="73" t="e">
        <f>IF(AND('Mapa final'!#REF!="Baja",'Mapa final'!#REF!="Leve"),CONCATENATE("R4C",'Mapa final'!#REF!),"")</f>
        <v>#REF!</v>
      </c>
      <c r="N39" s="73" t="e">
        <f>IF(AND('Mapa final'!#REF!="Baja",'Mapa final'!#REF!="Leve"),CONCATENATE("R4C",'Mapa final'!#REF!),"")</f>
        <v>#REF!</v>
      </c>
      <c r="O39" s="74" t="e">
        <f>IF(AND('Mapa final'!#REF!="Baja",'Mapa final'!#REF!="Leve"),CONCATENATE("R4C",'Mapa final'!#REF!),"")</f>
        <v>#REF!</v>
      </c>
      <c r="P39" s="63" t="str">
        <f>IF(AND('Mapa final'!$Y$31="Baja",'Mapa final'!$AA$31="Menor"),CONCATENATE("R4C",'Mapa final'!$O$31),"")</f>
        <v/>
      </c>
      <c r="Q39" s="64" t="str">
        <f>IF(AND('Mapa final'!$Y$32="Baja",'Mapa final'!$AA$32="Menor"),CONCATENATE("R4C",'Mapa final'!$O$32),"")</f>
        <v/>
      </c>
      <c r="R39" s="64" t="e">
        <f>IF(AND('Mapa final'!#REF!="Baja",'Mapa final'!#REF!="Menor"),CONCATENATE("R4C",'Mapa final'!#REF!),"")</f>
        <v>#REF!</v>
      </c>
      <c r="S39" s="64" t="e">
        <f>IF(AND('Mapa final'!#REF!="Baja",'Mapa final'!#REF!="Menor"),CONCATENATE("R4C",'Mapa final'!#REF!),"")</f>
        <v>#REF!</v>
      </c>
      <c r="T39" s="64" t="e">
        <f>IF(AND('Mapa final'!#REF!="Baja",'Mapa final'!#REF!="Menor"),CONCATENATE("R4C",'Mapa final'!#REF!),"")</f>
        <v>#REF!</v>
      </c>
      <c r="U39" s="65" t="e">
        <f>IF(AND('Mapa final'!#REF!="Baja",'Mapa final'!#REF!="Menor"),CONCATENATE("R4C",'Mapa final'!#REF!),"")</f>
        <v>#REF!</v>
      </c>
      <c r="V39" s="63" t="str">
        <f>IF(AND('Mapa final'!$Y$31="Baja",'Mapa final'!$AA$31="Moderado"),CONCATENATE("R4C",'Mapa final'!$O$31),"")</f>
        <v/>
      </c>
      <c r="W39" s="64" t="str">
        <f>IF(AND('Mapa final'!$Y$32="Baja",'Mapa final'!$AA$32="Moderado"),CONCATENATE("R4C",'Mapa final'!$O$32),"")</f>
        <v/>
      </c>
      <c r="X39" s="64" t="e">
        <f>IF(AND('Mapa final'!#REF!="Baja",'Mapa final'!#REF!="Moderado"),CONCATENATE("R4C",'Mapa final'!#REF!),"")</f>
        <v>#REF!</v>
      </c>
      <c r="Y39" s="64" t="e">
        <f>IF(AND('Mapa final'!#REF!="Baja",'Mapa final'!#REF!="Moderado"),CONCATENATE("R4C",'Mapa final'!#REF!),"")</f>
        <v>#REF!</v>
      </c>
      <c r="Z39" s="64" t="e">
        <f>IF(AND('Mapa final'!#REF!="Baja",'Mapa final'!#REF!="Moderado"),CONCATENATE("R4C",'Mapa final'!#REF!),"")</f>
        <v>#REF!</v>
      </c>
      <c r="AA39" s="65" t="e">
        <f>IF(AND('Mapa final'!#REF!="Baja",'Mapa final'!#REF!="Moderado"),CONCATENATE("R4C",'Mapa final'!#REF!),"")</f>
        <v>#REF!</v>
      </c>
      <c r="AB39" s="48" t="str">
        <f>IF(AND('Mapa final'!$Y$31="Baja",'Mapa final'!$AA$31="Mayor"),CONCATENATE("R4C",'Mapa final'!$O$31),"")</f>
        <v/>
      </c>
      <c r="AC39" s="49" t="str">
        <f>IF(AND('Mapa final'!$Y$32="Baja",'Mapa final'!$AA$32="Mayor"),CONCATENATE("R4C",'Mapa final'!$O$32),"")</f>
        <v/>
      </c>
      <c r="AD39" s="49" t="e">
        <f>IF(AND('Mapa final'!#REF!="Baja",'Mapa final'!#REF!="Mayor"),CONCATENATE("R4C",'Mapa final'!#REF!),"")</f>
        <v>#REF!</v>
      </c>
      <c r="AE39" s="49" t="e">
        <f>IF(AND('Mapa final'!#REF!="Baja",'Mapa final'!#REF!="Mayor"),CONCATENATE("R4C",'Mapa final'!#REF!),"")</f>
        <v>#REF!</v>
      </c>
      <c r="AF39" s="49" t="e">
        <f>IF(AND('Mapa final'!#REF!="Baja",'Mapa final'!#REF!="Mayor"),CONCATENATE("R4C",'Mapa final'!#REF!),"")</f>
        <v>#REF!</v>
      </c>
      <c r="AG39" s="50" t="e">
        <f>IF(AND('Mapa final'!#REF!="Baja",'Mapa final'!#REF!="Mayor"),CONCATENATE("R4C",'Mapa final'!#REF!),"")</f>
        <v>#REF!</v>
      </c>
      <c r="AH39" s="51" t="str">
        <f>IF(AND('Mapa final'!$Y$31="Baja",'Mapa final'!$AA$31="Catastrófico"),CONCATENATE("R4C",'Mapa final'!$O$31),"")</f>
        <v/>
      </c>
      <c r="AI39" s="52" t="str">
        <f>IF(AND('Mapa final'!$Y$32="Baja",'Mapa final'!$AA$32="Catastrófico"),CONCATENATE("R4C",'Mapa final'!$O$32),"")</f>
        <v/>
      </c>
      <c r="AJ39" s="52" t="e">
        <f>IF(AND('Mapa final'!#REF!="Baja",'Mapa final'!#REF!="Catastrófico"),CONCATENATE("R4C",'Mapa final'!#REF!),"")</f>
        <v>#REF!</v>
      </c>
      <c r="AK39" s="52" t="e">
        <f>IF(AND('Mapa final'!#REF!="Baja",'Mapa final'!#REF!="Catastrófico"),CONCATENATE("R4C",'Mapa final'!#REF!),"")</f>
        <v>#REF!</v>
      </c>
      <c r="AL39" s="52" t="e">
        <f>IF(AND('Mapa final'!#REF!="Baja",'Mapa final'!#REF!="Catastrófico"),CONCATENATE("R4C",'Mapa final'!#REF!),"")</f>
        <v>#REF!</v>
      </c>
      <c r="AM39" s="53" t="e">
        <f>IF(AND('Mapa final'!#REF!="Baja",'Mapa final'!#REF!="Catastrófico"),CONCATENATE("R4C",'Mapa final'!#REF!),"")</f>
        <v>#REF!</v>
      </c>
      <c r="AN39" s="79"/>
      <c r="AO39" s="465"/>
      <c r="AP39" s="466"/>
      <c r="AQ39" s="466"/>
      <c r="AR39" s="466"/>
      <c r="AS39" s="466"/>
      <c r="AT39" s="467"/>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row>
    <row r="40" spans="1:80" ht="15" customHeight="1" x14ac:dyDescent="0.25">
      <c r="A40" s="79"/>
      <c r="B40" s="346"/>
      <c r="C40" s="346"/>
      <c r="D40" s="347"/>
      <c r="E40" s="445"/>
      <c r="F40" s="444"/>
      <c r="G40" s="444"/>
      <c r="H40" s="444"/>
      <c r="I40" s="444"/>
      <c r="J40" s="72" t="str">
        <f>IF(AND('Mapa final'!$Y$33="Baja",'Mapa final'!$AA$33="Leve"),CONCATENATE("R5C",'Mapa final'!$O$33),"")</f>
        <v/>
      </c>
      <c r="K40" s="73" t="str">
        <f>IF(AND('Mapa final'!$Y$34="Baja",'Mapa final'!$AA$34="Leve"),CONCATENATE("R5C",'Mapa final'!$O$34),"")</f>
        <v/>
      </c>
      <c r="L40" s="73" t="e">
        <f>IF(AND('Mapa final'!#REF!="Baja",'Mapa final'!#REF!="Leve"),CONCATENATE("R5C",'Mapa final'!#REF!),"")</f>
        <v>#REF!</v>
      </c>
      <c r="M40" s="73" t="e">
        <f>IF(AND('Mapa final'!#REF!="Baja",'Mapa final'!#REF!="Leve"),CONCATENATE("R5C",'Mapa final'!#REF!),"")</f>
        <v>#REF!</v>
      </c>
      <c r="N40" s="73" t="e">
        <f>IF(AND('Mapa final'!#REF!="Baja",'Mapa final'!#REF!="Leve"),CONCATENATE("R5C",'Mapa final'!#REF!),"")</f>
        <v>#REF!</v>
      </c>
      <c r="O40" s="74" t="e">
        <f>IF(AND('Mapa final'!#REF!="Baja",'Mapa final'!#REF!="Leve"),CONCATENATE("R5C",'Mapa final'!#REF!),"")</f>
        <v>#REF!</v>
      </c>
      <c r="P40" s="63" t="str">
        <f>IF(AND('Mapa final'!$Y$33="Baja",'Mapa final'!$AA$33="Menor"),CONCATENATE("R5C",'Mapa final'!$O$33),"")</f>
        <v/>
      </c>
      <c r="Q40" s="64" t="str">
        <f>IF(AND('Mapa final'!$Y$34="Baja",'Mapa final'!$AA$34="Menor"),CONCATENATE("R5C",'Mapa final'!$O$34),"")</f>
        <v/>
      </c>
      <c r="R40" s="64" t="e">
        <f>IF(AND('Mapa final'!#REF!="Baja",'Mapa final'!#REF!="Menor"),CONCATENATE("R5C",'Mapa final'!#REF!),"")</f>
        <v>#REF!</v>
      </c>
      <c r="S40" s="64" t="e">
        <f>IF(AND('Mapa final'!#REF!="Baja",'Mapa final'!#REF!="Menor"),CONCATENATE("R5C",'Mapa final'!#REF!),"")</f>
        <v>#REF!</v>
      </c>
      <c r="T40" s="64" t="e">
        <f>IF(AND('Mapa final'!#REF!="Baja",'Mapa final'!#REF!="Menor"),CONCATENATE("R5C",'Mapa final'!#REF!),"")</f>
        <v>#REF!</v>
      </c>
      <c r="U40" s="65" t="e">
        <f>IF(AND('Mapa final'!#REF!="Baja",'Mapa final'!#REF!="Menor"),CONCATENATE("R5C",'Mapa final'!#REF!),"")</f>
        <v>#REF!</v>
      </c>
      <c r="V40" s="63" t="str">
        <f>IF(AND('Mapa final'!$Y$33="Baja",'Mapa final'!$AA$33="Moderado"),CONCATENATE("R5C",'Mapa final'!$O$33),"")</f>
        <v>R5C1</v>
      </c>
      <c r="W40" s="64" t="str">
        <f>IF(AND('Mapa final'!$Y$34="Baja",'Mapa final'!$AA$34="Moderado"),CONCATENATE("R5C",'Mapa final'!$O$34),"")</f>
        <v/>
      </c>
      <c r="X40" s="64" t="e">
        <f>IF(AND('Mapa final'!#REF!="Baja",'Mapa final'!#REF!="Moderado"),CONCATENATE("R5C",'Mapa final'!#REF!),"")</f>
        <v>#REF!</v>
      </c>
      <c r="Y40" s="64" t="e">
        <f>IF(AND('Mapa final'!#REF!="Baja",'Mapa final'!#REF!="Moderado"),CONCATENATE("R5C",'Mapa final'!#REF!),"")</f>
        <v>#REF!</v>
      </c>
      <c r="Z40" s="64" t="e">
        <f>IF(AND('Mapa final'!#REF!="Baja",'Mapa final'!#REF!="Moderado"),CONCATENATE("R5C",'Mapa final'!#REF!),"")</f>
        <v>#REF!</v>
      </c>
      <c r="AA40" s="65" t="e">
        <f>IF(AND('Mapa final'!#REF!="Baja",'Mapa final'!#REF!="Moderado"),CONCATENATE("R5C",'Mapa final'!#REF!),"")</f>
        <v>#REF!</v>
      </c>
      <c r="AB40" s="48" t="str">
        <f>IF(AND('Mapa final'!$Y$33="Baja",'Mapa final'!$AA$33="Mayor"),CONCATENATE("R5C",'Mapa final'!$O$33),"")</f>
        <v/>
      </c>
      <c r="AC40" s="49" t="str">
        <f>IF(AND('Mapa final'!$Y$34="Baja",'Mapa final'!$AA$34="Mayor"),CONCATENATE("R5C",'Mapa final'!$O$34),"")</f>
        <v/>
      </c>
      <c r="AD40" s="49" t="e">
        <f>IF(AND('Mapa final'!#REF!="Baja",'Mapa final'!#REF!="Mayor"),CONCATENATE("R5C",'Mapa final'!#REF!),"")</f>
        <v>#REF!</v>
      </c>
      <c r="AE40" s="49" t="e">
        <f>IF(AND('Mapa final'!#REF!="Baja",'Mapa final'!#REF!="Mayor"),CONCATENATE("R5C",'Mapa final'!#REF!),"")</f>
        <v>#REF!</v>
      </c>
      <c r="AF40" s="49" t="e">
        <f>IF(AND('Mapa final'!#REF!="Baja",'Mapa final'!#REF!="Mayor"),CONCATENATE("R5C",'Mapa final'!#REF!),"")</f>
        <v>#REF!</v>
      </c>
      <c r="AG40" s="50" t="e">
        <f>IF(AND('Mapa final'!#REF!="Baja",'Mapa final'!#REF!="Mayor"),CONCATENATE("R5C",'Mapa final'!#REF!),"")</f>
        <v>#REF!</v>
      </c>
      <c r="AH40" s="51" t="str">
        <f>IF(AND('Mapa final'!$Y$33="Baja",'Mapa final'!$AA$33="Catastrófico"),CONCATENATE("R5C",'Mapa final'!$O$33),"")</f>
        <v/>
      </c>
      <c r="AI40" s="52" t="str">
        <f>IF(AND('Mapa final'!$Y$34="Baja",'Mapa final'!$AA$34="Catastrófico"),CONCATENATE("R5C",'Mapa final'!$O$34),"")</f>
        <v/>
      </c>
      <c r="AJ40" s="52" t="e">
        <f>IF(AND('Mapa final'!#REF!="Baja",'Mapa final'!#REF!="Catastrófico"),CONCATENATE("R5C",'Mapa final'!#REF!),"")</f>
        <v>#REF!</v>
      </c>
      <c r="AK40" s="52" t="e">
        <f>IF(AND('Mapa final'!#REF!="Baja",'Mapa final'!#REF!="Catastrófico"),CONCATENATE("R5C",'Mapa final'!#REF!),"")</f>
        <v>#REF!</v>
      </c>
      <c r="AL40" s="52" t="e">
        <f>IF(AND('Mapa final'!#REF!="Baja",'Mapa final'!#REF!="Catastrófico"),CONCATENATE("R5C",'Mapa final'!#REF!),"")</f>
        <v>#REF!</v>
      </c>
      <c r="AM40" s="53" t="e">
        <f>IF(AND('Mapa final'!#REF!="Baja",'Mapa final'!#REF!="Catastrófico"),CONCATENATE("R5C",'Mapa final'!#REF!),"")</f>
        <v>#REF!</v>
      </c>
      <c r="AN40" s="79"/>
      <c r="AO40" s="465"/>
      <c r="AP40" s="466"/>
      <c r="AQ40" s="466"/>
      <c r="AR40" s="466"/>
      <c r="AS40" s="466"/>
      <c r="AT40" s="467"/>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row>
    <row r="41" spans="1:80" ht="15" customHeight="1" x14ac:dyDescent="0.25">
      <c r="A41" s="79"/>
      <c r="B41" s="346"/>
      <c r="C41" s="346"/>
      <c r="D41" s="347"/>
      <c r="E41" s="445"/>
      <c r="F41" s="444"/>
      <c r="G41" s="444"/>
      <c r="H41" s="444"/>
      <c r="I41" s="444"/>
      <c r="J41" s="72" t="str">
        <f>IF(AND('Mapa final'!$Y$35="Baja",'Mapa final'!$AA$35="Leve"),CONCATENATE("R6C",'Mapa final'!$O$35),"")</f>
        <v/>
      </c>
      <c r="K41" s="73" t="e">
        <f>IF(AND('Mapa final'!#REF!="Baja",'Mapa final'!#REF!="Leve"),CONCATENATE("R6C",'Mapa final'!#REF!),"")</f>
        <v>#REF!</v>
      </c>
      <c r="L41" s="73" t="e">
        <f>IF(AND('Mapa final'!#REF!="Baja",'Mapa final'!#REF!="Leve"),CONCATENATE("R6C",'Mapa final'!#REF!),"")</f>
        <v>#REF!</v>
      </c>
      <c r="M41" s="73" t="e">
        <f>IF(AND('Mapa final'!#REF!="Baja",'Mapa final'!#REF!="Leve"),CONCATENATE("R6C",'Mapa final'!#REF!),"")</f>
        <v>#REF!</v>
      </c>
      <c r="N41" s="73" t="e">
        <f>IF(AND('Mapa final'!#REF!="Baja",'Mapa final'!#REF!="Leve"),CONCATENATE("R6C",'Mapa final'!#REF!),"")</f>
        <v>#REF!</v>
      </c>
      <c r="O41" s="74" t="e">
        <f>IF(AND('Mapa final'!#REF!="Baja",'Mapa final'!#REF!="Leve"),CONCATENATE("R6C",'Mapa final'!#REF!),"")</f>
        <v>#REF!</v>
      </c>
      <c r="P41" s="63" t="str">
        <f>IF(AND('Mapa final'!$Y$35="Baja",'Mapa final'!$AA$35="Menor"),CONCATENATE("R6C",'Mapa final'!$O$35),"")</f>
        <v/>
      </c>
      <c r="Q41" s="64" t="e">
        <f>IF(AND('Mapa final'!#REF!="Baja",'Mapa final'!#REF!="Menor"),CONCATENATE("R6C",'Mapa final'!#REF!),"")</f>
        <v>#REF!</v>
      </c>
      <c r="R41" s="64" t="e">
        <f>IF(AND('Mapa final'!#REF!="Baja",'Mapa final'!#REF!="Menor"),CONCATENATE("R6C",'Mapa final'!#REF!),"")</f>
        <v>#REF!</v>
      </c>
      <c r="S41" s="64" t="e">
        <f>IF(AND('Mapa final'!#REF!="Baja",'Mapa final'!#REF!="Menor"),CONCATENATE("R6C",'Mapa final'!#REF!),"")</f>
        <v>#REF!</v>
      </c>
      <c r="T41" s="64" t="e">
        <f>IF(AND('Mapa final'!#REF!="Baja",'Mapa final'!#REF!="Menor"),CONCATENATE("R6C",'Mapa final'!#REF!),"")</f>
        <v>#REF!</v>
      </c>
      <c r="U41" s="65" t="e">
        <f>IF(AND('Mapa final'!#REF!="Baja",'Mapa final'!#REF!="Menor"),CONCATENATE("R6C",'Mapa final'!#REF!),"")</f>
        <v>#REF!</v>
      </c>
      <c r="V41" s="63" t="str">
        <f>IF(AND('Mapa final'!$Y$35="Baja",'Mapa final'!$AA$35="Moderado"),CONCATENATE("R6C",'Mapa final'!$O$35),"")</f>
        <v>R6C1</v>
      </c>
      <c r="W41" s="64" t="e">
        <f>IF(AND('Mapa final'!#REF!="Baja",'Mapa final'!#REF!="Moderado"),CONCATENATE("R6C",'Mapa final'!#REF!),"")</f>
        <v>#REF!</v>
      </c>
      <c r="X41" s="64" t="e">
        <f>IF(AND('Mapa final'!#REF!="Baja",'Mapa final'!#REF!="Moderado"),CONCATENATE("R6C",'Mapa final'!#REF!),"")</f>
        <v>#REF!</v>
      </c>
      <c r="Y41" s="64" t="e">
        <f>IF(AND('Mapa final'!#REF!="Baja",'Mapa final'!#REF!="Moderado"),CONCATENATE("R6C",'Mapa final'!#REF!),"")</f>
        <v>#REF!</v>
      </c>
      <c r="Z41" s="64" t="e">
        <f>IF(AND('Mapa final'!#REF!="Baja",'Mapa final'!#REF!="Moderado"),CONCATENATE("R6C",'Mapa final'!#REF!),"")</f>
        <v>#REF!</v>
      </c>
      <c r="AA41" s="65" t="e">
        <f>IF(AND('Mapa final'!#REF!="Baja",'Mapa final'!#REF!="Moderado"),CONCATENATE("R6C",'Mapa final'!#REF!),"")</f>
        <v>#REF!</v>
      </c>
      <c r="AB41" s="48" t="str">
        <f>IF(AND('Mapa final'!$Y$35="Baja",'Mapa final'!$AA$35="Mayor"),CONCATENATE("R6C",'Mapa final'!$O$35),"")</f>
        <v/>
      </c>
      <c r="AC41" s="49" t="e">
        <f>IF(AND('Mapa final'!#REF!="Baja",'Mapa final'!#REF!="Mayor"),CONCATENATE("R6C",'Mapa final'!#REF!),"")</f>
        <v>#REF!</v>
      </c>
      <c r="AD41" s="49" t="e">
        <f>IF(AND('Mapa final'!#REF!="Baja",'Mapa final'!#REF!="Mayor"),CONCATENATE("R6C",'Mapa final'!#REF!),"")</f>
        <v>#REF!</v>
      </c>
      <c r="AE41" s="49" t="e">
        <f>IF(AND('Mapa final'!#REF!="Baja",'Mapa final'!#REF!="Mayor"),CONCATENATE("R6C",'Mapa final'!#REF!),"")</f>
        <v>#REF!</v>
      </c>
      <c r="AF41" s="49" t="e">
        <f>IF(AND('Mapa final'!#REF!="Baja",'Mapa final'!#REF!="Mayor"),CONCATENATE("R6C",'Mapa final'!#REF!),"")</f>
        <v>#REF!</v>
      </c>
      <c r="AG41" s="50" t="e">
        <f>IF(AND('Mapa final'!#REF!="Baja",'Mapa final'!#REF!="Mayor"),CONCATENATE("R6C",'Mapa final'!#REF!),"")</f>
        <v>#REF!</v>
      </c>
      <c r="AH41" s="51" t="str">
        <f>IF(AND('Mapa final'!$Y$35="Baja",'Mapa final'!$AA$35="Catastrófico"),CONCATENATE("R6C",'Mapa final'!$O$35),"")</f>
        <v/>
      </c>
      <c r="AI41" s="52" t="e">
        <f>IF(AND('Mapa final'!#REF!="Baja",'Mapa final'!#REF!="Catastrófico"),CONCATENATE("R6C",'Mapa final'!#REF!),"")</f>
        <v>#REF!</v>
      </c>
      <c r="AJ41" s="52" t="e">
        <f>IF(AND('Mapa final'!#REF!="Baja",'Mapa final'!#REF!="Catastrófico"),CONCATENATE("R6C",'Mapa final'!#REF!),"")</f>
        <v>#REF!</v>
      </c>
      <c r="AK41" s="52" t="e">
        <f>IF(AND('Mapa final'!#REF!="Baja",'Mapa final'!#REF!="Catastrófico"),CONCATENATE("R6C",'Mapa final'!#REF!),"")</f>
        <v>#REF!</v>
      </c>
      <c r="AL41" s="52" t="e">
        <f>IF(AND('Mapa final'!#REF!="Baja",'Mapa final'!#REF!="Catastrófico"),CONCATENATE("R6C",'Mapa final'!#REF!),"")</f>
        <v>#REF!</v>
      </c>
      <c r="AM41" s="53" t="e">
        <f>IF(AND('Mapa final'!#REF!="Baja",'Mapa final'!#REF!="Catastrófico"),CONCATENATE("R6C",'Mapa final'!#REF!),"")</f>
        <v>#REF!</v>
      </c>
      <c r="AN41" s="79"/>
      <c r="AO41" s="465"/>
      <c r="AP41" s="466"/>
      <c r="AQ41" s="466"/>
      <c r="AR41" s="466"/>
      <c r="AS41" s="466"/>
      <c r="AT41" s="467"/>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row>
    <row r="42" spans="1:80" ht="15" customHeight="1" x14ac:dyDescent="0.25">
      <c r="A42" s="79"/>
      <c r="B42" s="346"/>
      <c r="C42" s="346"/>
      <c r="D42" s="347"/>
      <c r="E42" s="445"/>
      <c r="F42" s="444"/>
      <c r="G42" s="444"/>
      <c r="H42" s="444"/>
      <c r="I42" s="444"/>
      <c r="J42" s="72" t="str">
        <f>IF(AND('Mapa final'!$Y$41="Baja",'Mapa final'!$AA$41="Leve"),CONCATENATE("R7C",'Mapa final'!$O$41),"")</f>
        <v/>
      </c>
      <c r="K42" s="73" t="str">
        <f>IF(AND('Mapa final'!$Y$42="Baja",'Mapa final'!$AA$42="Leve"),CONCATENATE("R7C",'Mapa final'!$O$42),"")</f>
        <v/>
      </c>
      <c r="L42" s="73" t="e">
        <f>IF(AND('Mapa final'!#REF!="Baja",'Mapa final'!#REF!="Leve"),CONCATENATE("R7C",'Mapa final'!#REF!),"")</f>
        <v>#REF!</v>
      </c>
      <c r="M42" s="73" t="e">
        <f>IF(AND('Mapa final'!#REF!="Baja",'Mapa final'!#REF!="Leve"),CONCATENATE("R7C",'Mapa final'!#REF!),"")</f>
        <v>#REF!</v>
      </c>
      <c r="N42" s="73" t="e">
        <f>IF(AND('Mapa final'!#REF!="Baja",'Mapa final'!#REF!="Leve"),CONCATENATE("R7C",'Mapa final'!#REF!),"")</f>
        <v>#REF!</v>
      </c>
      <c r="O42" s="74" t="e">
        <f>IF(AND('Mapa final'!#REF!="Baja",'Mapa final'!#REF!="Leve"),CONCATENATE("R7C",'Mapa final'!#REF!),"")</f>
        <v>#REF!</v>
      </c>
      <c r="P42" s="63" t="str">
        <f>IF(AND('Mapa final'!$Y$41="Baja",'Mapa final'!$AA$41="Menor"),CONCATENATE("R7C",'Mapa final'!$O$41),"")</f>
        <v/>
      </c>
      <c r="Q42" s="64" t="str">
        <f>IF(AND('Mapa final'!$Y$42="Baja",'Mapa final'!$AA$42="Menor"),CONCATENATE("R7C",'Mapa final'!$O$42),"")</f>
        <v/>
      </c>
      <c r="R42" s="64" t="e">
        <f>IF(AND('Mapa final'!#REF!="Baja",'Mapa final'!#REF!="Menor"),CONCATENATE("R7C",'Mapa final'!#REF!),"")</f>
        <v>#REF!</v>
      </c>
      <c r="S42" s="64" t="e">
        <f>IF(AND('Mapa final'!#REF!="Baja",'Mapa final'!#REF!="Menor"),CONCATENATE("R7C",'Mapa final'!#REF!),"")</f>
        <v>#REF!</v>
      </c>
      <c r="T42" s="64" t="e">
        <f>IF(AND('Mapa final'!#REF!="Baja",'Mapa final'!#REF!="Menor"),CONCATENATE("R7C",'Mapa final'!#REF!),"")</f>
        <v>#REF!</v>
      </c>
      <c r="U42" s="65" t="e">
        <f>IF(AND('Mapa final'!#REF!="Baja",'Mapa final'!#REF!="Menor"),CONCATENATE("R7C",'Mapa final'!#REF!),"")</f>
        <v>#REF!</v>
      </c>
      <c r="V42" s="63" t="str">
        <f>IF(AND('Mapa final'!$Y$41="Baja",'Mapa final'!$AA$41="Moderado"),CONCATENATE("R7C",'Mapa final'!$O$41),"")</f>
        <v>R7C1</v>
      </c>
      <c r="W42" s="64" t="str">
        <f>IF(AND('Mapa final'!$Y$42="Baja",'Mapa final'!$AA$42="Moderado"),CONCATENATE("R7C",'Mapa final'!$O$42),"")</f>
        <v/>
      </c>
      <c r="X42" s="64" t="e">
        <f>IF(AND('Mapa final'!#REF!="Baja",'Mapa final'!#REF!="Moderado"),CONCATENATE("R7C",'Mapa final'!#REF!),"")</f>
        <v>#REF!</v>
      </c>
      <c r="Y42" s="64" t="e">
        <f>IF(AND('Mapa final'!#REF!="Baja",'Mapa final'!#REF!="Moderado"),CONCATENATE("R7C",'Mapa final'!#REF!),"")</f>
        <v>#REF!</v>
      </c>
      <c r="Z42" s="64" t="e">
        <f>IF(AND('Mapa final'!#REF!="Baja",'Mapa final'!#REF!="Moderado"),CONCATENATE("R7C",'Mapa final'!#REF!),"")</f>
        <v>#REF!</v>
      </c>
      <c r="AA42" s="65" t="e">
        <f>IF(AND('Mapa final'!#REF!="Baja",'Mapa final'!#REF!="Moderado"),CONCATENATE("R7C",'Mapa final'!#REF!),"")</f>
        <v>#REF!</v>
      </c>
      <c r="AB42" s="48" t="str">
        <f>IF(AND('Mapa final'!$Y$41="Baja",'Mapa final'!$AA$41="Mayor"),CONCATENATE("R7C",'Mapa final'!$O$41),"")</f>
        <v/>
      </c>
      <c r="AC42" s="49" t="str">
        <f>IF(AND('Mapa final'!$Y$42="Baja",'Mapa final'!$AA$42="Mayor"),CONCATENATE("R7C",'Mapa final'!$O$42),"")</f>
        <v/>
      </c>
      <c r="AD42" s="49" t="e">
        <f>IF(AND('Mapa final'!#REF!="Baja",'Mapa final'!#REF!="Mayor"),CONCATENATE("R7C",'Mapa final'!#REF!),"")</f>
        <v>#REF!</v>
      </c>
      <c r="AE42" s="49" t="e">
        <f>IF(AND('Mapa final'!#REF!="Baja",'Mapa final'!#REF!="Mayor"),CONCATENATE("R7C",'Mapa final'!#REF!),"")</f>
        <v>#REF!</v>
      </c>
      <c r="AF42" s="49" t="e">
        <f>IF(AND('Mapa final'!#REF!="Baja",'Mapa final'!#REF!="Mayor"),CONCATENATE("R7C",'Mapa final'!#REF!),"")</f>
        <v>#REF!</v>
      </c>
      <c r="AG42" s="50" t="e">
        <f>IF(AND('Mapa final'!#REF!="Baja",'Mapa final'!#REF!="Mayor"),CONCATENATE("R7C",'Mapa final'!#REF!),"")</f>
        <v>#REF!</v>
      </c>
      <c r="AH42" s="51" t="str">
        <f>IF(AND('Mapa final'!$Y$41="Baja",'Mapa final'!$AA$41="Catastrófico"),CONCATENATE("R7C",'Mapa final'!$O$41),"")</f>
        <v/>
      </c>
      <c r="AI42" s="52" t="str">
        <f>IF(AND('Mapa final'!$Y$42="Baja",'Mapa final'!$AA$42="Catastrófico"),CONCATENATE("R7C",'Mapa final'!$O$42),"")</f>
        <v/>
      </c>
      <c r="AJ42" s="52" t="e">
        <f>IF(AND('Mapa final'!#REF!="Baja",'Mapa final'!#REF!="Catastrófico"),CONCATENATE("R7C",'Mapa final'!#REF!),"")</f>
        <v>#REF!</v>
      </c>
      <c r="AK42" s="52" t="e">
        <f>IF(AND('Mapa final'!#REF!="Baja",'Mapa final'!#REF!="Catastrófico"),CONCATENATE("R7C",'Mapa final'!#REF!),"")</f>
        <v>#REF!</v>
      </c>
      <c r="AL42" s="52" t="e">
        <f>IF(AND('Mapa final'!#REF!="Baja",'Mapa final'!#REF!="Catastrófico"),CONCATENATE("R7C",'Mapa final'!#REF!),"")</f>
        <v>#REF!</v>
      </c>
      <c r="AM42" s="53" t="e">
        <f>IF(AND('Mapa final'!#REF!="Baja",'Mapa final'!#REF!="Catastrófico"),CONCATENATE("R7C",'Mapa final'!#REF!),"")</f>
        <v>#REF!</v>
      </c>
      <c r="AN42" s="79"/>
      <c r="AO42" s="465"/>
      <c r="AP42" s="466"/>
      <c r="AQ42" s="466"/>
      <c r="AR42" s="466"/>
      <c r="AS42" s="466"/>
      <c r="AT42" s="467"/>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row>
    <row r="43" spans="1:80" ht="15" customHeight="1" x14ac:dyDescent="0.25">
      <c r="A43" s="79"/>
      <c r="B43" s="346"/>
      <c r="C43" s="346"/>
      <c r="D43" s="347"/>
      <c r="E43" s="445"/>
      <c r="F43" s="444"/>
      <c r="G43" s="444"/>
      <c r="H43" s="444"/>
      <c r="I43" s="444"/>
      <c r="J43" s="72" t="str">
        <f>IF(AND('Mapa final'!$Y$43="Baja",'Mapa final'!$AA$43="Leve"),CONCATENATE("R8C",'Mapa final'!$O$43),"")</f>
        <v/>
      </c>
      <c r="K43" s="73" t="str">
        <f>IF(AND('Mapa final'!$Y$44="Baja",'Mapa final'!$AA$44="Leve"),CONCATENATE("R8C",'Mapa final'!$O$44),"")</f>
        <v/>
      </c>
      <c r="L43" s="73" t="str">
        <f>IF(AND('Mapa final'!$Y$45="Baja",'Mapa final'!$AA$45="Leve"),CONCATENATE("R8C",'Mapa final'!$O$45),"")</f>
        <v/>
      </c>
      <c r="M43" s="73" t="str">
        <f>IF(AND('Mapa final'!$Y$46="Baja",'Mapa final'!$AA$46="Leve"),CONCATENATE("R8C",'Mapa final'!$O$46),"")</f>
        <v/>
      </c>
      <c r="N43" s="73" t="str">
        <f>IF(AND('Mapa final'!$Y$47="Baja",'Mapa final'!$AA$47="Leve"),CONCATENATE("R8C",'Mapa final'!$O$47),"")</f>
        <v/>
      </c>
      <c r="O43" s="74" t="str">
        <f>IF(AND('Mapa final'!$Y$48="Baja",'Mapa final'!$AA$48="Leve"),CONCATENATE("R8C",'Mapa final'!$O$48),"")</f>
        <v/>
      </c>
      <c r="P43" s="63" t="str">
        <f>IF(AND('Mapa final'!$Y$43="Baja",'Mapa final'!$AA$43="Menor"),CONCATENATE("R8C",'Mapa final'!$O$43),"")</f>
        <v/>
      </c>
      <c r="Q43" s="64" t="str">
        <f>IF(AND('Mapa final'!$Y$44="Baja",'Mapa final'!$AA$44="Menor"),CONCATENATE("R8C",'Mapa final'!$O$44),"")</f>
        <v/>
      </c>
      <c r="R43" s="64" t="str">
        <f>IF(AND('Mapa final'!$Y$45="Baja",'Mapa final'!$AA$45="Menor"),CONCATENATE("R8C",'Mapa final'!$O$45),"")</f>
        <v/>
      </c>
      <c r="S43" s="64" t="str">
        <f>IF(AND('Mapa final'!$Y$46="Baja",'Mapa final'!$AA$46="Menor"),CONCATENATE("R8C",'Mapa final'!$O$46),"")</f>
        <v/>
      </c>
      <c r="T43" s="64" t="str">
        <f>IF(AND('Mapa final'!$Y$47="Baja",'Mapa final'!$AA$47="Menor"),CONCATENATE("R8C",'Mapa final'!$O$47),"")</f>
        <v/>
      </c>
      <c r="U43" s="65" t="str">
        <f>IF(AND('Mapa final'!$Y$48="Baja",'Mapa final'!$AA$48="Menor"),CONCATENATE("R8C",'Mapa final'!$O$48),"")</f>
        <v/>
      </c>
      <c r="V43" s="63" t="str">
        <f>IF(AND('Mapa final'!$Y$43="Baja",'Mapa final'!$AA$43="Moderado"),CONCATENATE("R8C",'Mapa final'!$O$43),"")</f>
        <v/>
      </c>
      <c r="W43" s="64" t="str">
        <f>IF(AND('Mapa final'!$Y$44="Baja",'Mapa final'!$AA$44="Moderado"),CONCATENATE("R8C",'Mapa final'!$O$44),"")</f>
        <v/>
      </c>
      <c r="X43" s="64" t="str">
        <f>IF(AND('Mapa final'!$Y$45="Baja",'Mapa final'!$AA$45="Moderado"),CONCATENATE("R8C",'Mapa final'!$O$45),"")</f>
        <v/>
      </c>
      <c r="Y43" s="64" t="str">
        <f>IF(AND('Mapa final'!$Y$46="Baja",'Mapa final'!$AA$46="Moderado"),CONCATENATE("R8C",'Mapa final'!$O$46),"")</f>
        <v/>
      </c>
      <c r="Z43" s="64" t="str">
        <f>IF(AND('Mapa final'!$Y$47="Baja",'Mapa final'!$AA$47="Moderado"),CONCATENATE("R8C",'Mapa final'!$O$47),"")</f>
        <v/>
      </c>
      <c r="AA43" s="65" t="str">
        <f>IF(AND('Mapa final'!$Y$48="Baja",'Mapa final'!$AA$48="Moderado"),CONCATENATE("R8C",'Mapa final'!$O$48),"")</f>
        <v/>
      </c>
      <c r="AB43" s="48" t="str">
        <f>IF(AND('Mapa final'!$Y$43="Baja",'Mapa final'!$AA$43="Mayor"),CONCATENATE("R8C",'Mapa final'!$O$43),"")</f>
        <v/>
      </c>
      <c r="AC43" s="49" t="str">
        <f>IF(AND('Mapa final'!$Y$44="Baja",'Mapa final'!$AA$44="Mayor"),CONCATENATE("R8C",'Mapa final'!$O$44),"")</f>
        <v/>
      </c>
      <c r="AD43" s="49" t="str">
        <f>IF(AND('Mapa final'!$Y$45="Baja",'Mapa final'!$AA$45="Mayor"),CONCATENATE("R8C",'Mapa final'!$O$45),"")</f>
        <v/>
      </c>
      <c r="AE43" s="49" t="str">
        <f>IF(AND('Mapa final'!$Y$46="Baja",'Mapa final'!$AA$46="Mayor"),CONCATENATE("R8C",'Mapa final'!$O$46),"")</f>
        <v/>
      </c>
      <c r="AF43" s="49" t="str">
        <f>IF(AND('Mapa final'!$Y$47="Baja",'Mapa final'!$AA$47="Mayor"),CONCATENATE("R8C",'Mapa final'!$O$47),"")</f>
        <v/>
      </c>
      <c r="AG43" s="50" t="str">
        <f>IF(AND('Mapa final'!$Y$48="Baja",'Mapa final'!$AA$48="Mayor"),CONCATENATE("R8C",'Mapa final'!$O$48),"")</f>
        <v/>
      </c>
      <c r="AH43" s="51" t="str">
        <f>IF(AND('Mapa final'!$Y$43="Baja",'Mapa final'!$AA$43="Catastrófico"),CONCATENATE("R8C",'Mapa final'!$O$43),"")</f>
        <v/>
      </c>
      <c r="AI43" s="52" t="str">
        <f>IF(AND('Mapa final'!$Y$44="Baja",'Mapa final'!$AA$44="Catastrófico"),CONCATENATE("R8C",'Mapa final'!$O$44),"")</f>
        <v/>
      </c>
      <c r="AJ43" s="52" t="str">
        <f>IF(AND('Mapa final'!$Y$45="Baja",'Mapa final'!$AA$45="Catastrófico"),CONCATENATE("R8C",'Mapa final'!$O$45),"")</f>
        <v/>
      </c>
      <c r="AK43" s="52" t="str">
        <f>IF(AND('Mapa final'!$Y$46="Baja",'Mapa final'!$AA$46="Catastrófico"),CONCATENATE("R8C",'Mapa final'!$O$46),"")</f>
        <v/>
      </c>
      <c r="AL43" s="52" t="str">
        <f>IF(AND('Mapa final'!$Y$47="Baja",'Mapa final'!$AA$47="Catastrófico"),CONCATENATE("R8C",'Mapa final'!$O$47),"")</f>
        <v/>
      </c>
      <c r="AM43" s="53" t="str">
        <f>IF(AND('Mapa final'!$Y$48="Baja",'Mapa final'!$AA$48="Catastrófico"),CONCATENATE("R8C",'Mapa final'!$O$48),"")</f>
        <v/>
      </c>
      <c r="AN43" s="79"/>
      <c r="AO43" s="465"/>
      <c r="AP43" s="466"/>
      <c r="AQ43" s="466"/>
      <c r="AR43" s="466"/>
      <c r="AS43" s="466"/>
      <c r="AT43" s="467"/>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row>
    <row r="44" spans="1:80" ht="15" customHeight="1" x14ac:dyDescent="0.25">
      <c r="A44" s="79"/>
      <c r="B44" s="346"/>
      <c r="C44" s="346"/>
      <c r="D44" s="347"/>
      <c r="E44" s="445"/>
      <c r="F44" s="444"/>
      <c r="G44" s="444"/>
      <c r="H44" s="444"/>
      <c r="I44" s="444"/>
      <c r="J44" s="72" t="str">
        <f>IF(AND('Mapa final'!$Y$49="Baja",'Mapa final'!$AA$49="Leve"),CONCATENATE("R9C",'Mapa final'!$O$49),"")</f>
        <v/>
      </c>
      <c r="K44" s="73" t="str">
        <f>IF(AND('Mapa final'!$Y$50="Baja",'Mapa final'!$AA$50="Leve"),CONCATENATE("R9C",'Mapa final'!$O$50),"")</f>
        <v/>
      </c>
      <c r="L44" s="73" t="str">
        <f>IF(AND('Mapa final'!$Y$51="Baja",'Mapa final'!$AA$51="Leve"),CONCATENATE("R9C",'Mapa final'!$O$51),"")</f>
        <v/>
      </c>
      <c r="M44" s="73" t="str">
        <f>IF(AND('Mapa final'!$Y$52="Baja",'Mapa final'!$AA$52="Leve"),CONCATENATE("R9C",'Mapa final'!$O$52),"")</f>
        <v/>
      </c>
      <c r="N44" s="73" t="str">
        <f>IF(AND('Mapa final'!$Y$53="Baja",'Mapa final'!$AA$53="Leve"),CONCATENATE("R9C",'Mapa final'!$O$53),"")</f>
        <v/>
      </c>
      <c r="O44" s="74" t="str">
        <f>IF(AND('Mapa final'!$Y$54="Baja",'Mapa final'!$AA$54="Leve"),CONCATENATE("R9C",'Mapa final'!$O$54),"")</f>
        <v/>
      </c>
      <c r="P44" s="63" t="str">
        <f>IF(AND('Mapa final'!$Y$49="Baja",'Mapa final'!$AA$49="Menor"),CONCATENATE("R9C",'Mapa final'!$O$49),"")</f>
        <v/>
      </c>
      <c r="Q44" s="64" t="str">
        <f>IF(AND('Mapa final'!$Y$50="Baja",'Mapa final'!$AA$50="Menor"),CONCATENATE("R9C",'Mapa final'!$O$50),"")</f>
        <v/>
      </c>
      <c r="R44" s="64" t="str">
        <f>IF(AND('Mapa final'!$Y$51="Baja",'Mapa final'!$AA$51="Menor"),CONCATENATE("R9C",'Mapa final'!$O$51),"")</f>
        <v/>
      </c>
      <c r="S44" s="64" t="str">
        <f>IF(AND('Mapa final'!$Y$52="Baja",'Mapa final'!$AA$52="Menor"),CONCATENATE("R9C",'Mapa final'!$O$52),"")</f>
        <v/>
      </c>
      <c r="T44" s="64" t="str">
        <f>IF(AND('Mapa final'!$Y$53="Baja",'Mapa final'!$AA$53="Menor"),CONCATENATE("R9C",'Mapa final'!$O$53),"")</f>
        <v/>
      </c>
      <c r="U44" s="65" t="str">
        <f>IF(AND('Mapa final'!$Y$54="Baja",'Mapa final'!$AA$54="Menor"),CONCATENATE("R9C",'Mapa final'!$O$54),"")</f>
        <v/>
      </c>
      <c r="V44" s="63" t="str">
        <f>IF(AND('Mapa final'!$Y$49="Baja",'Mapa final'!$AA$49="Moderado"),CONCATENATE("R9C",'Mapa final'!$O$49),"")</f>
        <v/>
      </c>
      <c r="W44" s="64" t="str">
        <f>IF(AND('Mapa final'!$Y$50="Baja",'Mapa final'!$AA$50="Moderado"),CONCATENATE("R9C",'Mapa final'!$O$50),"")</f>
        <v/>
      </c>
      <c r="X44" s="64" t="str">
        <f>IF(AND('Mapa final'!$Y$51="Baja",'Mapa final'!$AA$51="Moderado"),CONCATENATE("R9C",'Mapa final'!$O$51),"")</f>
        <v/>
      </c>
      <c r="Y44" s="64" t="str">
        <f>IF(AND('Mapa final'!$Y$52="Baja",'Mapa final'!$AA$52="Moderado"),CONCATENATE("R9C",'Mapa final'!$O$52),"")</f>
        <v/>
      </c>
      <c r="Z44" s="64" t="str">
        <f>IF(AND('Mapa final'!$Y$53="Baja",'Mapa final'!$AA$53="Moderado"),CONCATENATE("R9C",'Mapa final'!$O$53),"")</f>
        <v/>
      </c>
      <c r="AA44" s="65" t="str">
        <f>IF(AND('Mapa final'!$Y$54="Baja",'Mapa final'!$AA$54="Moderado"),CONCATENATE("R9C",'Mapa final'!$O$54),"")</f>
        <v/>
      </c>
      <c r="AB44" s="48" t="str">
        <f>IF(AND('Mapa final'!$Y$49="Baja",'Mapa final'!$AA$49="Mayor"),CONCATENATE("R9C",'Mapa final'!$O$49),"")</f>
        <v/>
      </c>
      <c r="AC44" s="49" t="str">
        <f>IF(AND('Mapa final'!$Y$50="Baja",'Mapa final'!$AA$50="Mayor"),CONCATENATE("R9C",'Mapa final'!$O$50),"")</f>
        <v/>
      </c>
      <c r="AD44" s="49" t="str">
        <f>IF(AND('Mapa final'!$Y$51="Baja",'Mapa final'!$AA$51="Mayor"),CONCATENATE("R9C",'Mapa final'!$O$51),"")</f>
        <v/>
      </c>
      <c r="AE44" s="49" t="str">
        <f>IF(AND('Mapa final'!$Y$52="Baja",'Mapa final'!$AA$52="Mayor"),CONCATENATE("R9C",'Mapa final'!$O$52),"")</f>
        <v/>
      </c>
      <c r="AF44" s="49" t="str">
        <f>IF(AND('Mapa final'!$Y$53="Baja",'Mapa final'!$AA$53="Mayor"),CONCATENATE("R9C",'Mapa final'!$O$53),"")</f>
        <v/>
      </c>
      <c r="AG44" s="50" t="str">
        <f>IF(AND('Mapa final'!$Y$54="Baja",'Mapa final'!$AA$54="Mayor"),CONCATENATE("R9C",'Mapa final'!$O$54),"")</f>
        <v/>
      </c>
      <c r="AH44" s="51" t="str">
        <f>IF(AND('Mapa final'!$Y$49="Baja",'Mapa final'!$AA$49="Catastrófico"),CONCATENATE("R9C",'Mapa final'!$O$49),"")</f>
        <v/>
      </c>
      <c r="AI44" s="52" t="str">
        <f>IF(AND('Mapa final'!$Y$50="Baja",'Mapa final'!$AA$50="Catastrófico"),CONCATENATE("R9C",'Mapa final'!$O$50),"")</f>
        <v/>
      </c>
      <c r="AJ44" s="52" t="str">
        <f>IF(AND('Mapa final'!$Y$51="Baja",'Mapa final'!$AA$51="Catastrófico"),CONCATENATE("R9C",'Mapa final'!$O$51),"")</f>
        <v/>
      </c>
      <c r="AK44" s="52" t="str">
        <f>IF(AND('Mapa final'!$Y$52="Baja",'Mapa final'!$AA$52="Catastrófico"),CONCATENATE("R9C",'Mapa final'!$O$52),"")</f>
        <v/>
      </c>
      <c r="AL44" s="52" t="str">
        <f>IF(AND('Mapa final'!$Y$53="Baja",'Mapa final'!$AA$53="Catastrófico"),CONCATENATE("R9C",'Mapa final'!$O$53),"")</f>
        <v/>
      </c>
      <c r="AM44" s="53" t="str">
        <f>IF(AND('Mapa final'!$Y$54="Baja",'Mapa final'!$AA$54="Catastrófico"),CONCATENATE("R9C",'Mapa final'!$O$54),"")</f>
        <v/>
      </c>
      <c r="AN44" s="79"/>
      <c r="AO44" s="465"/>
      <c r="AP44" s="466"/>
      <c r="AQ44" s="466"/>
      <c r="AR44" s="466"/>
      <c r="AS44" s="466"/>
      <c r="AT44" s="467"/>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row>
    <row r="45" spans="1:80" ht="15.75" customHeight="1" thickBot="1" x14ac:dyDescent="0.3">
      <c r="A45" s="79"/>
      <c r="B45" s="346"/>
      <c r="C45" s="346"/>
      <c r="D45" s="347"/>
      <c r="E45" s="446"/>
      <c r="F45" s="447"/>
      <c r="G45" s="447"/>
      <c r="H45" s="447"/>
      <c r="I45" s="447"/>
      <c r="J45" s="75" t="str">
        <f>IF(AND('Mapa final'!$Y$55="Baja",'Mapa final'!$AA$55="Leve"),CONCATENATE("R10C",'Mapa final'!$O$55),"")</f>
        <v/>
      </c>
      <c r="K45" s="76" t="str">
        <f>IF(AND('Mapa final'!$Y$56="Baja",'Mapa final'!$AA$56="Leve"),CONCATENATE("R10C",'Mapa final'!$O$56),"")</f>
        <v/>
      </c>
      <c r="L45" s="76" t="str">
        <f>IF(AND('Mapa final'!$Y$57="Baja",'Mapa final'!$AA$57="Leve"),CONCATENATE("R10C",'Mapa final'!$O$57),"")</f>
        <v/>
      </c>
      <c r="M45" s="76" t="str">
        <f>IF(AND('Mapa final'!$Y$58="Baja",'Mapa final'!$AA$58="Leve"),CONCATENATE("R10C",'Mapa final'!$O$58),"")</f>
        <v/>
      </c>
      <c r="N45" s="76" t="str">
        <f>IF(AND('Mapa final'!$Y$59="Baja",'Mapa final'!$AA$59="Leve"),CONCATENATE("R10C",'Mapa final'!$O$59),"")</f>
        <v/>
      </c>
      <c r="O45" s="77" t="str">
        <f>IF(AND('Mapa final'!$Y$60="Baja",'Mapa final'!$AA$60="Leve"),CONCATENATE("R10C",'Mapa final'!$O$60),"")</f>
        <v/>
      </c>
      <c r="P45" s="63" t="str">
        <f>IF(AND('Mapa final'!$Y$55="Baja",'Mapa final'!$AA$55="Menor"),CONCATENATE("R10C",'Mapa final'!$O$55),"")</f>
        <v/>
      </c>
      <c r="Q45" s="64" t="str">
        <f>IF(AND('Mapa final'!$Y$56="Baja",'Mapa final'!$AA$56="Menor"),CONCATENATE("R10C",'Mapa final'!$O$56),"")</f>
        <v/>
      </c>
      <c r="R45" s="64" t="str">
        <f>IF(AND('Mapa final'!$Y$57="Baja",'Mapa final'!$AA$57="Menor"),CONCATENATE("R10C",'Mapa final'!$O$57),"")</f>
        <v/>
      </c>
      <c r="S45" s="64" t="str">
        <f>IF(AND('Mapa final'!$Y$58="Baja",'Mapa final'!$AA$58="Menor"),CONCATENATE("R10C",'Mapa final'!$O$58),"")</f>
        <v/>
      </c>
      <c r="T45" s="64" t="str">
        <f>IF(AND('Mapa final'!$Y$59="Baja",'Mapa final'!$AA$59="Menor"),CONCATENATE("R10C",'Mapa final'!$O$59),"")</f>
        <v/>
      </c>
      <c r="U45" s="65" t="str">
        <f>IF(AND('Mapa final'!$Y$60="Baja",'Mapa final'!$AA$60="Menor"),CONCATENATE("R10C",'Mapa final'!$O$60),"")</f>
        <v/>
      </c>
      <c r="V45" s="66" t="str">
        <f>IF(AND('Mapa final'!$Y$55="Baja",'Mapa final'!$AA$55="Moderado"),CONCATENATE("R10C",'Mapa final'!$O$55),"")</f>
        <v/>
      </c>
      <c r="W45" s="67" t="str">
        <f>IF(AND('Mapa final'!$Y$56="Baja",'Mapa final'!$AA$56="Moderado"),CONCATENATE("R10C",'Mapa final'!$O$56),"")</f>
        <v/>
      </c>
      <c r="X45" s="67" t="str">
        <f>IF(AND('Mapa final'!$Y$57="Baja",'Mapa final'!$AA$57="Moderado"),CONCATENATE("R10C",'Mapa final'!$O$57),"")</f>
        <v/>
      </c>
      <c r="Y45" s="67" t="str">
        <f>IF(AND('Mapa final'!$Y$58="Baja",'Mapa final'!$AA$58="Moderado"),CONCATENATE("R10C",'Mapa final'!$O$58),"")</f>
        <v/>
      </c>
      <c r="Z45" s="67" t="str">
        <f>IF(AND('Mapa final'!$Y$59="Baja",'Mapa final'!$AA$59="Moderado"),CONCATENATE("R10C",'Mapa final'!$O$59),"")</f>
        <v/>
      </c>
      <c r="AA45" s="68" t="str">
        <f>IF(AND('Mapa final'!$Y$60="Baja",'Mapa final'!$AA$60="Moderado"),CONCATENATE("R10C",'Mapa final'!$O$60),"")</f>
        <v/>
      </c>
      <c r="AB45" s="54" t="str">
        <f>IF(AND('Mapa final'!$Y$55="Baja",'Mapa final'!$AA$55="Mayor"),CONCATENATE("R10C",'Mapa final'!$O$55),"")</f>
        <v/>
      </c>
      <c r="AC45" s="55" t="str">
        <f>IF(AND('Mapa final'!$Y$56="Baja",'Mapa final'!$AA$56="Mayor"),CONCATENATE("R10C",'Mapa final'!$O$56),"")</f>
        <v/>
      </c>
      <c r="AD45" s="55" t="str">
        <f>IF(AND('Mapa final'!$Y$57="Baja",'Mapa final'!$AA$57="Mayor"),CONCATENATE("R10C",'Mapa final'!$O$57),"")</f>
        <v/>
      </c>
      <c r="AE45" s="55" t="str">
        <f>IF(AND('Mapa final'!$Y$58="Baja",'Mapa final'!$AA$58="Mayor"),CONCATENATE("R10C",'Mapa final'!$O$58),"")</f>
        <v/>
      </c>
      <c r="AF45" s="55" t="str">
        <f>IF(AND('Mapa final'!$Y$59="Baja",'Mapa final'!$AA$59="Mayor"),CONCATENATE("R10C",'Mapa final'!$O$59),"")</f>
        <v/>
      </c>
      <c r="AG45" s="56" t="str">
        <f>IF(AND('Mapa final'!$Y$60="Baja",'Mapa final'!$AA$60="Mayor"),CONCATENATE("R10C",'Mapa final'!$O$60),"")</f>
        <v/>
      </c>
      <c r="AH45" s="57" t="str">
        <f>IF(AND('Mapa final'!$Y$55="Baja",'Mapa final'!$AA$55="Catastrófico"),CONCATENATE("R10C",'Mapa final'!$O$55),"")</f>
        <v/>
      </c>
      <c r="AI45" s="58" t="str">
        <f>IF(AND('Mapa final'!$Y$56="Baja",'Mapa final'!$AA$56="Catastrófico"),CONCATENATE("R10C",'Mapa final'!$O$56),"")</f>
        <v/>
      </c>
      <c r="AJ45" s="58" t="str">
        <f>IF(AND('Mapa final'!$Y$57="Baja",'Mapa final'!$AA$57="Catastrófico"),CONCATENATE("R10C",'Mapa final'!$O$57),"")</f>
        <v/>
      </c>
      <c r="AK45" s="58" t="str">
        <f>IF(AND('Mapa final'!$Y$58="Baja",'Mapa final'!$AA$58="Catastrófico"),CONCATENATE("R10C",'Mapa final'!$O$58),"")</f>
        <v/>
      </c>
      <c r="AL45" s="58" t="str">
        <f>IF(AND('Mapa final'!$Y$59="Baja",'Mapa final'!$AA$59="Catastrófico"),CONCATENATE("R10C",'Mapa final'!$O$59),"")</f>
        <v/>
      </c>
      <c r="AM45" s="59" t="str">
        <f>IF(AND('Mapa final'!$Y$60="Baja",'Mapa final'!$AA$60="Catastrófico"),CONCATENATE("R10C",'Mapa final'!$O$60),"")</f>
        <v/>
      </c>
      <c r="AN45" s="79"/>
      <c r="AO45" s="468"/>
      <c r="AP45" s="469"/>
      <c r="AQ45" s="469"/>
      <c r="AR45" s="469"/>
      <c r="AS45" s="469"/>
      <c r="AT45" s="470"/>
    </row>
    <row r="46" spans="1:80" ht="46.5" customHeight="1" x14ac:dyDescent="0.35">
      <c r="A46" s="79"/>
      <c r="B46" s="346"/>
      <c r="C46" s="346"/>
      <c r="D46" s="347"/>
      <c r="E46" s="441" t="s">
        <v>100</v>
      </c>
      <c r="F46" s="442"/>
      <c r="G46" s="442"/>
      <c r="H46" s="442"/>
      <c r="I46" s="459"/>
      <c r="J46" s="69" t="str">
        <f>IF(AND('Mapa final'!$Y$24="Muy Baja",'Mapa final'!$AA$24="Leve"),CONCATENATE("R1C",'Mapa final'!$O$24),"")</f>
        <v/>
      </c>
      <c r="K46" s="70" t="str">
        <f>IF(AND('Mapa final'!$Y$25="Muy Baja",'Mapa final'!$AA$25="Leve"),CONCATENATE("R1C",'Mapa final'!$O$25),"")</f>
        <v/>
      </c>
      <c r="L46" s="70" t="str">
        <f>IF(AND('Mapa final'!$Y$26="Muy Baja",'Mapa final'!$AA$26="Leve"),CONCATENATE("R1C",'Mapa final'!$O$26),"")</f>
        <v/>
      </c>
      <c r="M46" s="70" t="e">
        <f>IF(AND('Mapa final'!#REF!="Muy Baja",'Mapa final'!#REF!="Leve"),CONCATENATE("R1C",'Mapa final'!#REF!),"")</f>
        <v>#REF!</v>
      </c>
      <c r="N46" s="70" t="e">
        <f>IF(AND('Mapa final'!#REF!="Muy Baja",'Mapa final'!#REF!="Leve"),CONCATENATE("R1C",'Mapa final'!#REF!),"")</f>
        <v>#REF!</v>
      </c>
      <c r="O46" s="71" t="e">
        <f>IF(AND('Mapa final'!#REF!="Muy Baja",'Mapa final'!#REF!="Leve"),CONCATENATE("R1C",'Mapa final'!#REF!),"")</f>
        <v>#REF!</v>
      </c>
      <c r="P46" s="69" t="str">
        <f>IF(AND('Mapa final'!$Y$24="Muy Baja",'Mapa final'!$AA$24="Menor"),CONCATENATE("R1C",'Mapa final'!$O$24),"")</f>
        <v/>
      </c>
      <c r="Q46" s="70" t="str">
        <f>IF(AND('Mapa final'!$Y$25="Muy Baja",'Mapa final'!$AA$25="Menor"),CONCATENATE("R1C",'Mapa final'!$O$25),"")</f>
        <v/>
      </c>
      <c r="R46" s="70" t="str">
        <f>IF(AND('Mapa final'!$Y$26="Muy Baja",'Mapa final'!$AA$26="Menor"),CONCATENATE("R1C",'Mapa final'!$O$26),"")</f>
        <v/>
      </c>
      <c r="S46" s="70" t="e">
        <f>IF(AND('Mapa final'!#REF!="Muy Baja",'Mapa final'!#REF!="Menor"),CONCATENATE("R1C",'Mapa final'!#REF!),"")</f>
        <v>#REF!</v>
      </c>
      <c r="T46" s="70" t="e">
        <f>IF(AND('Mapa final'!#REF!="Muy Baja",'Mapa final'!#REF!="Menor"),CONCATENATE("R1C",'Mapa final'!#REF!),"")</f>
        <v>#REF!</v>
      </c>
      <c r="U46" s="71" t="e">
        <f>IF(AND('Mapa final'!#REF!="Muy Baja",'Mapa final'!#REF!="Menor"),CONCATENATE("R1C",'Mapa final'!#REF!),"")</f>
        <v>#REF!</v>
      </c>
      <c r="V46" s="60" t="str">
        <f>IF(AND('Mapa final'!$Y$24="Muy Baja",'Mapa final'!$AA$24="Moderado"),CONCATENATE("R1C",'Mapa final'!$O$24),"")</f>
        <v/>
      </c>
      <c r="W46" s="78" t="str">
        <f>IF(AND('Mapa final'!$Y$25="Muy Baja",'Mapa final'!$AA$25="Moderado"),CONCATENATE("R1C",'Mapa final'!$O$25),"")</f>
        <v/>
      </c>
      <c r="X46" s="61" t="str">
        <f>IF(AND('Mapa final'!$Y$26="Muy Baja",'Mapa final'!$AA$26="Moderado"),CONCATENATE("R1C",'Mapa final'!$O$26),"")</f>
        <v/>
      </c>
      <c r="Y46" s="61" t="e">
        <f>IF(AND('Mapa final'!#REF!="Muy Baja",'Mapa final'!#REF!="Moderado"),CONCATENATE("R1C",'Mapa final'!#REF!),"")</f>
        <v>#REF!</v>
      </c>
      <c r="Z46" s="61" t="e">
        <f>IF(AND('Mapa final'!#REF!="Muy Baja",'Mapa final'!#REF!="Moderado"),CONCATENATE("R1C",'Mapa final'!#REF!),"")</f>
        <v>#REF!</v>
      </c>
      <c r="AA46" s="62" t="e">
        <f>IF(AND('Mapa final'!#REF!="Muy Baja",'Mapa final'!#REF!="Moderado"),CONCATENATE("R1C",'Mapa final'!#REF!),"")</f>
        <v>#REF!</v>
      </c>
      <c r="AB46" s="42" t="str">
        <f>IF(AND('Mapa final'!$Y$24="Muy Baja",'Mapa final'!$AA$24="Mayor"),CONCATENATE("R1C",'Mapa final'!$O$24),"")</f>
        <v/>
      </c>
      <c r="AC46" s="43" t="str">
        <f>IF(AND('Mapa final'!$Y$25="Muy Baja",'Mapa final'!$AA$25="Mayor"),CONCATENATE("R1C",'Mapa final'!$O$25),"")</f>
        <v/>
      </c>
      <c r="AD46" s="43" t="str">
        <f>IF(AND('Mapa final'!$Y$26="Muy Baja",'Mapa final'!$AA$26="Mayor"),CONCATENATE("R1C",'Mapa final'!$O$26),"")</f>
        <v/>
      </c>
      <c r="AE46" s="43" t="e">
        <f>IF(AND('Mapa final'!#REF!="Muy Baja",'Mapa final'!#REF!="Mayor"),CONCATENATE("R1C",'Mapa final'!#REF!),"")</f>
        <v>#REF!</v>
      </c>
      <c r="AF46" s="43" t="e">
        <f>IF(AND('Mapa final'!#REF!="Muy Baja",'Mapa final'!#REF!="Mayor"),CONCATENATE("R1C",'Mapa final'!#REF!),"")</f>
        <v>#REF!</v>
      </c>
      <c r="AG46" s="44" t="e">
        <f>IF(AND('Mapa final'!#REF!="Muy Baja",'Mapa final'!#REF!="Mayor"),CONCATENATE("R1C",'Mapa final'!#REF!),"")</f>
        <v>#REF!</v>
      </c>
      <c r="AH46" s="45" t="str">
        <f>IF(AND('Mapa final'!$Y$24="Muy Baja",'Mapa final'!$AA$24="Catastrófico"),CONCATENATE("R1C",'Mapa final'!$O$24),"")</f>
        <v/>
      </c>
      <c r="AI46" s="46" t="str">
        <f>IF(AND('Mapa final'!$Y$25="Muy Baja",'Mapa final'!$AA$25="Catastrófico"),CONCATENATE("R1C",'Mapa final'!$O$25),"")</f>
        <v/>
      </c>
      <c r="AJ46" s="46" t="str">
        <f>IF(AND('Mapa final'!$Y$26="Muy Baja",'Mapa final'!$AA$26="Catastrófico"),CONCATENATE("R1C",'Mapa final'!$O$26),"")</f>
        <v/>
      </c>
      <c r="AK46" s="46" t="e">
        <f>IF(AND('Mapa final'!#REF!="Muy Baja",'Mapa final'!#REF!="Catastrófico"),CONCATENATE("R1C",'Mapa final'!#REF!),"")</f>
        <v>#REF!</v>
      </c>
      <c r="AL46" s="46" t="e">
        <f>IF(AND('Mapa final'!#REF!="Muy Baja",'Mapa final'!#REF!="Catastrófico"),CONCATENATE("R1C",'Mapa final'!#REF!),"")</f>
        <v>#REF!</v>
      </c>
      <c r="AM46" s="47" t="e">
        <f>IF(AND('Mapa final'!#REF!="Muy Baja",'Mapa final'!#REF!="Catastrófico"),CONCATENATE("R1C",'Mapa final'!#REF!),"")</f>
        <v>#REF!</v>
      </c>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row>
    <row r="47" spans="1:80" ht="46.5" customHeight="1" x14ac:dyDescent="0.25">
      <c r="A47" s="79"/>
      <c r="B47" s="346"/>
      <c r="C47" s="346"/>
      <c r="D47" s="347"/>
      <c r="E47" s="443"/>
      <c r="F47" s="444"/>
      <c r="G47" s="444"/>
      <c r="H47" s="444"/>
      <c r="I47" s="460"/>
      <c r="J47" s="72" t="str">
        <f>IF(AND('Mapa final'!$Y$27="Muy Baja",'Mapa final'!$AA$27="Leve"),CONCATENATE("R2C",'Mapa final'!$O$27),"")</f>
        <v/>
      </c>
      <c r="K47" s="73" t="str">
        <f>IF(AND('Mapa final'!$Y$28="Muy Baja",'Mapa final'!$AA$28="Leve"),CONCATENATE("R2C",'Mapa final'!$O$28),"")</f>
        <v/>
      </c>
      <c r="L47" s="73" t="str">
        <f>IF(AND('Mapa final'!$Y$29="Muy Baja",'Mapa final'!$AA$29="Leve"),CONCATENATE("R2C",'Mapa final'!$O$29),"")</f>
        <v/>
      </c>
      <c r="M47" s="73" t="e">
        <f>IF(AND('Mapa final'!#REF!="Muy Baja",'Mapa final'!#REF!="Leve"),CONCATENATE("R2C",'Mapa final'!#REF!),"")</f>
        <v>#REF!</v>
      </c>
      <c r="N47" s="73" t="e">
        <f>IF(AND('Mapa final'!#REF!="Muy Baja",'Mapa final'!#REF!="Leve"),CONCATENATE("R2C",'Mapa final'!#REF!),"")</f>
        <v>#REF!</v>
      </c>
      <c r="O47" s="74" t="e">
        <f>IF(AND('Mapa final'!#REF!="Muy Baja",'Mapa final'!#REF!="Leve"),CONCATENATE("R2C",'Mapa final'!#REF!),"")</f>
        <v>#REF!</v>
      </c>
      <c r="P47" s="72" t="str">
        <f>IF(AND('Mapa final'!$Y$27="Muy Baja",'Mapa final'!$AA$27="Menor"),CONCATENATE("R2C",'Mapa final'!$O$27),"")</f>
        <v/>
      </c>
      <c r="Q47" s="73" t="str">
        <f>IF(AND('Mapa final'!$Y$28="Muy Baja",'Mapa final'!$AA$28="Menor"),CONCATENATE("R2C",'Mapa final'!$O$28),"")</f>
        <v/>
      </c>
      <c r="R47" s="73" t="str">
        <f>IF(AND('Mapa final'!$Y$29="Muy Baja",'Mapa final'!$AA$29="Menor"),CONCATENATE("R2C",'Mapa final'!$O$29),"")</f>
        <v/>
      </c>
      <c r="S47" s="73" t="e">
        <f>IF(AND('Mapa final'!#REF!="Muy Baja",'Mapa final'!#REF!="Menor"),CONCATENATE("R2C",'Mapa final'!#REF!),"")</f>
        <v>#REF!</v>
      </c>
      <c r="T47" s="73" t="e">
        <f>IF(AND('Mapa final'!#REF!="Muy Baja",'Mapa final'!#REF!="Menor"),CONCATENATE("R2C",'Mapa final'!#REF!),"")</f>
        <v>#REF!</v>
      </c>
      <c r="U47" s="74" t="e">
        <f>IF(AND('Mapa final'!#REF!="Muy Baja",'Mapa final'!#REF!="Menor"),CONCATENATE("R2C",'Mapa final'!#REF!),"")</f>
        <v>#REF!</v>
      </c>
      <c r="V47" s="63" t="str">
        <f>IF(AND('Mapa final'!$Y$27="Muy Baja",'Mapa final'!$AA$27="Moderado"),CONCATENATE("R2C",'Mapa final'!$O$27),"")</f>
        <v/>
      </c>
      <c r="W47" s="64" t="str">
        <f>IF(AND('Mapa final'!$Y$28="Muy Baja",'Mapa final'!$AA$28="Moderado"),CONCATENATE("R2C",'Mapa final'!$O$28),"")</f>
        <v/>
      </c>
      <c r="X47" s="64" t="str">
        <f>IF(AND('Mapa final'!$Y$29="Muy Baja",'Mapa final'!$AA$29="Moderado"),CONCATENATE("R2C",'Mapa final'!$O$29),"")</f>
        <v/>
      </c>
      <c r="Y47" s="64" t="e">
        <f>IF(AND('Mapa final'!#REF!="Muy Baja",'Mapa final'!#REF!="Moderado"),CONCATENATE("R2C",'Mapa final'!#REF!),"")</f>
        <v>#REF!</v>
      </c>
      <c r="Z47" s="64" t="e">
        <f>IF(AND('Mapa final'!#REF!="Muy Baja",'Mapa final'!#REF!="Moderado"),CONCATENATE("R2C",'Mapa final'!#REF!),"")</f>
        <v>#REF!</v>
      </c>
      <c r="AA47" s="65" t="e">
        <f>IF(AND('Mapa final'!#REF!="Muy Baja",'Mapa final'!#REF!="Moderado"),CONCATENATE("R2C",'Mapa final'!#REF!),"")</f>
        <v>#REF!</v>
      </c>
      <c r="AB47" s="48" t="str">
        <f>IF(AND('Mapa final'!$Y$27="Muy Baja",'Mapa final'!$AA$27="Mayor"),CONCATENATE("R2C",'Mapa final'!$O$27),"")</f>
        <v/>
      </c>
      <c r="AC47" s="49" t="str">
        <f>IF(AND('Mapa final'!$Y$28="Muy Baja",'Mapa final'!$AA$28="Mayor"),CONCATENATE("R2C",'Mapa final'!$O$28),"")</f>
        <v/>
      </c>
      <c r="AD47" s="49" t="str">
        <f>IF(AND('Mapa final'!$Y$29="Muy Baja",'Mapa final'!$AA$29="Mayor"),CONCATENATE("R2C",'Mapa final'!$O$29),"")</f>
        <v/>
      </c>
      <c r="AE47" s="49" t="e">
        <f>IF(AND('Mapa final'!#REF!="Muy Baja",'Mapa final'!#REF!="Mayor"),CONCATENATE("R2C",'Mapa final'!#REF!),"")</f>
        <v>#REF!</v>
      </c>
      <c r="AF47" s="49" t="e">
        <f>IF(AND('Mapa final'!#REF!="Muy Baja",'Mapa final'!#REF!="Mayor"),CONCATENATE("R2C",'Mapa final'!#REF!),"")</f>
        <v>#REF!</v>
      </c>
      <c r="AG47" s="50" t="e">
        <f>IF(AND('Mapa final'!#REF!="Muy Baja",'Mapa final'!#REF!="Mayor"),CONCATENATE("R2C",'Mapa final'!#REF!),"")</f>
        <v>#REF!</v>
      </c>
      <c r="AH47" s="51" t="str">
        <f>IF(AND('Mapa final'!$Y$27="Muy Baja",'Mapa final'!$AA$27="Catastrófico"),CONCATENATE("R2C",'Mapa final'!$O$27),"")</f>
        <v/>
      </c>
      <c r="AI47" s="52" t="str">
        <f>IF(AND('Mapa final'!$Y$28="Muy Baja",'Mapa final'!$AA$28="Catastrófico"),CONCATENATE("R2C",'Mapa final'!$O$28),"")</f>
        <v/>
      </c>
      <c r="AJ47" s="52" t="str">
        <f>IF(AND('Mapa final'!$Y$29="Muy Baja",'Mapa final'!$AA$29="Catastrófico"),CONCATENATE("R2C",'Mapa final'!$O$29),"")</f>
        <v/>
      </c>
      <c r="AK47" s="52" t="e">
        <f>IF(AND('Mapa final'!#REF!="Muy Baja",'Mapa final'!#REF!="Catastrófico"),CONCATENATE("R2C",'Mapa final'!#REF!),"")</f>
        <v>#REF!</v>
      </c>
      <c r="AL47" s="52" t="e">
        <f>IF(AND('Mapa final'!#REF!="Muy Baja",'Mapa final'!#REF!="Catastrófico"),CONCATENATE("R2C",'Mapa final'!#REF!),"")</f>
        <v>#REF!</v>
      </c>
      <c r="AM47" s="53" t="e">
        <f>IF(AND('Mapa final'!#REF!="Muy Baja",'Mapa final'!#REF!="Catastrófico"),CONCATENATE("R2C",'Mapa final'!#REF!),"")</f>
        <v>#REF!</v>
      </c>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row>
    <row r="48" spans="1:80" ht="15" customHeight="1" x14ac:dyDescent="0.25">
      <c r="A48" s="79"/>
      <c r="B48" s="346"/>
      <c r="C48" s="346"/>
      <c r="D48" s="347"/>
      <c r="E48" s="443"/>
      <c r="F48" s="444"/>
      <c r="G48" s="444"/>
      <c r="H48" s="444"/>
      <c r="I48" s="460"/>
      <c r="J48" s="72" t="str">
        <f>IF(AND('Mapa final'!$Y$30="Muy Baja",'Mapa final'!$AA$30="Leve"),CONCATENATE("R3C",'Mapa final'!$O$30),"")</f>
        <v/>
      </c>
      <c r="K48" s="73" t="e">
        <f>IF(AND('Mapa final'!#REF!="Muy Baja",'Mapa final'!#REF!="Leve"),CONCATENATE("R3C",'Mapa final'!#REF!),"")</f>
        <v>#REF!</v>
      </c>
      <c r="L48" s="73" t="e">
        <f>IF(AND('Mapa final'!#REF!="Muy Baja",'Mapa final'!#REF!="Leve"),CONCATENATE("R3C",'Mapa final'!#REF!),"")</f>
        <v>#REF!</v>
      </c>
      <c r="M48" s="73" t="e">
        <f>IF(AND('Mapa final'!#REF!="Muy Baja",'Mapa final'!#REF!="Leve"),CONCATENATE("R3C",'Mapa final'!#REF!),"")</f>
        <v>#REF!</v>
      </c>
      <c r="N48" s="73" t="e">
        <f>IF(AND('Mapa final'!#REF!="Muy Baja",'Mapa final'!#REF!="Leve"),CONCATENATE("R3C",'Mapa final'!#REF!),"")</f>
        <v>#REF!</v>
      </c>
      <c r="O48" s="74" t="e">
        <f>IF(AND('Mapa final'!#REF!="Muy Baja",'Mapa final'!#REF!="Leve"),CONCATENATE("R3C",'Mapa final'!#REF!),"")</f>
        <v>#REF!</v>
      </c>
      <c r="P48" s="72" t="str">
        <f>IF(AND('Mapa final'!$Y$30="Muy Baja",'Mapa final'!$AA$30="Menor"),CONCATENATE("R3C",'Mapa final'!$O$30),"")</f>
        <v/>
      </c>
      <c r="Q48" s="73" t="e">
        <f>IF(AND('Mapa final'!#REF!="Muy Baja",'Mapa final'!#REF!="Menor"),CONCATENATE("R3C",'Mapa final'!#REF!),"")</f>
        <v>#REF!</v>
      </c>
      <c r="R48" s="73" t="e">
        <f>IF(AND('Mapa final'!#REF!="Muy Baja",'Mapa final'!#REF!="Menor"),CONCATENATE("R3C",'Mapa final'!#REF!),"")</f>
        <v>#REF!</v>
      </c>
      <c r="S48" s="73" t="e">
        <f>IF(AND('Mapa final'!#REF!="Muy Baja",'Mapa final'!#REF!="Menor"),CONCATENATE("R3C",'Mapa final'!#REF!),"")</f>
        <v>#REF!</v>
      </c>
      <c r="T48" s="73" t="e">
        <f>IF(AND('Mapa final'!#REF!="Muy Baja",'Mapa final'!#REF!="Menor"),CONCATENATE("R3C",'Mapa final'!#REF!),"")</f>
        <v>#REF!</v>
      </c>
      <c r="U48" s="74" t="e">
        <f>IF(AND('Mapa final'!#REF!="Muy Baja",'Mapa final'!#REF!="Menor"),CONCATENATE("R3C",'Mapa final'!#REF!),"")</f>
        <v>#REF!</v>
      </c>
      <c r="V48" s="63" t="str">
        <f>IF(AND('Mapa final'!$Y$30="Muy Baja",'Mapa final'!$AA$30="Moderado"),CONCATENATE("R3C",'Mapa final'!$O$30),"")</f>
        <v/>
      </c>
      <c r="W48" s="64" t="e">
        <f>IF(AND('Mapa final'!#REF!="Muy Baja",'Mapa final'!#REF!="Moderado"),CONCATENATE("R3C",'Mapa final'!#REF!),"")</f>
        <v>#REF!</v>
      </c>
      <c r="X48" s="64" t="e">
        <f>IF(AND('Mapa final'!#REF!="Muy Baja",'Mapa final'!#REF!="Moderado"),CONCATENATE("R3C",'Mapa final'!#REF!),"")</f>
        <v>#REF!</v>
      </c>
      <c r="Y48" s="64" t="e">
        <f>IF(AND('Mapa final'!#REF!="Muy Baja",'Mapa final'!#REF!="Moderado"),CONCATENATE("R3C",'Mapa final'!#REF!),"")</f>
        <v>#REF!</v>
      </c>
      <c r="Z48" s="64" t="e">
        <f>IF(AND('Mapa final'!#REF!="Muy Baja",'Mapa final'!#REF!="Moderado"),CONCATENATE("R3C",'Mapa final'!#REF!),"")</f>
        <v>#REF!</v>
      </c>
      <c r="AA48" s="65" t="e">
        <f>IF(AND('Mapa final'!#REF!="Muy Baja",'Mapa final'!#REF!="Moderado"),CONCATENATE("R3C",'Mapa final'!#REF!),"")</f>
        <v>#REF!</v>
      </c>
      <c r="AB48" s="48" t="str">
        <f>IF(AND('Mapa final'!$Y$30="Muy Baja",'Mapa final'!$AA$30="Mayor"),CONCATENATE("R3C",'Mapa final'!$O$30),"")</f>
        <v/>
      </c>
      <c r="AC48" s="49" t="e">
        <f>IF(AND('Mapa final'!#REF!="Muy Baja",'Mapa final'!#REF!="Mayor"),CONCATENATE("R3C",'Mapa final'!#REF!),"")</f>
        <v>#REF!</v>
      </c>
      <c r="AD48" s="49" t="e">
        <f>IF(AND('Mapa final'!#REF!="Muy Baja",'Mapa final'!#REF!="Mayor"),CONCATENATE("R3C",'Mapa final'!#REF!),"")</f>
        <v>#REF!</v>
      </c>
      <c r="AE48" s="49" t="e">
        <f>IF(AND('Mapa final'!#REF!="Muy Baja",'Mapa final'!#REF!="Mayor"),CONCATENATE("R3C",'Mapa final'!#REF!),"")</f>
        <v>#REF!</v>
      </c>
      <c r="AF48" s="49" t="e">
        <f>IF(AND('Mapa final'!#REF!="Muy Baja",'Mapa final'!#REF!="Mayor"),CONCATENATE("R3C",'Mapa final'!#REF!),"")</f>
        <v>#REF!</v>
      </c>
      <c r="AG48" s="50" t="e">
        <f>IF(AND('Mapa final'!#REF!="Muy Baja",'Mapa final'!#REF!="Mayor"),CONCATENATE("R3C",'Mapa final'!#REF!),"")</f>
        <v>#REF!</v>
      </c>
      <c r="AH48" s="51" t="str">
        <f>IF(AND('Mapa final'!$Y$30="Muy Baja",'Mapa final'!$AA$30="Catastrófico"),CONCATENATE("R3C",'Mapa final'!$O$30),"")</f>
        <v/>
      </c>
      <c r="AI48" s="52" t="e">
        <f>IF(AND('Mapa final'!#REF!="Muy Baja",'Mapa final'!#REF!="Catastrófico"),CONCATENATE("R3C",'Mapa final'!#REF!),"")</f>
        <v>#REF!</v>
      </c>
      <c r="AJ48" s="52" t="e">
        <f>IF(AND('Mapa final'!#REF!="Muy Baja",'Mapa final'!#REF!="Catastrófico"),CONCATENATE("R3C",'Mapa final'!#REF!),"")</f>
        <v>#REF!</v>
      </c>
      <c r="AK48" s="52" t="e">
        <f>IF(AND('Mapa final'!#REF!="Muy Baja",'Mapa final'!#REF!="Catastrófico"),CONCATENATE("R3C",'Mapa final'!#REF!),"")</f>
        <v>#REF!</v>
      </c>
      <c r="AL48" s="52" t="e">
        <f>IF(AND('Mapa final'!#REF!="Muy Baja",'Mapa final'!#REF!="Catastrófico"),CONCATENATE("R3C",'Mapa final'!#REF!),"")</f>
        <v>#REF!</v>
      </c>
      <c r="AM48" s="53" t="e">
        <f>IF(AND('Mapa final'!#REF!="Muy Baja",'Mapa final'!#REF!="Catastrófico"),CONCATENATE("R3C",'Mapa final'!#REF!),"")</f>
        <v>#REF!</v>
      </c>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row>
    <row r="49" spans="1:80" ht="15" customHeight="1" x14ac:dyDescent="0.25">
      <c r="A49" s="79"/>
      <c r="B49" s="346"/>
      <c r="C49" s="346"/>
      <c r="D49" s="347"/>
      <c r="E49" s="445"/>
      <c r="F49" s="444"/>
      <c r="G49" s="444"/>
      <c r="H49" s="444"/>
      <c r="I49" s="460"/>
      <c r="J49" s="72" t="str">
        <f>IF(AND('Mapa final'!$Y$31="Muy Baja",'Mapa final'!$AA$31="Leve"),CONCATENATE("R4C",'Mapa final'!$O$31),"")</f>
        <v/>
      </c>
      <c r="K49" s="73" t="str">
        <f>IF(AND('Mapa final'!$Y$32="Muy Baja",'Mapa final'!$AA$32="Leve"),CONCATENATE("R4C",'Mapa final'!$O$32),"")</f>
        <v/>
      </c>
      <c r="L49" s="73" t="e">
        <f>IF(AND('Mapa final'!#REF!="Muy Baja",'Mapa final'!#REF!="Leve"),CONCATENATE("R4C",'Mapa final'!#REF!),"")</f>
        <v>#REF!</v>
      </c>
      <c r="M49" s="73" t="e">
        <f>IF(AND('Mapa final'!#REF!="Muy Baja",'Mapa final'!#REF!="Leve"),CONCATENATE("R4C",'Mapa final'!#REF!),"")</f>
        <v>#REF!</v>
      </c>
      <c r="N49" s="73" t="e">
        <f>IF(AND('Mapa final'!#REF!="Muy Baja",'Mapa final'!#REF!="Leve"),CONCATENATE("R4C",'Mapa final'!#REF!),"")</f>
        <v>#REF!</v>
      </c>
      <c r="O49" s="74" t="e">
        <f>IF(AND('Mapa final'!#REF!="Muy Baja",'Mapa final'!#REF!="Leve"),CONCATENATE("R4C",'Mapa final'!#REF!),"")</f>
        <v>#REF!</v>
      </c>
      <c r="P49" s="72" t="str">
        <f>IF(AND('Mapa final'!$Y$31="Muy Baja",'Mapa final'!$AA$31="Menor"),CONCATENATE("R4C",'Mapa final'!$O$31),"")</f>
        <v/>
      </c>
      <c r="Q49" s="73" t="str">
        <f>IF(AND('Mapa final'!$Y$32="Muy Baja",'Mapa final'!$AA$32="Menor"),CONCATENATE("R4C",'Mapa final'!$O$32),"")</f>
        <v/>
      </c>
      <c r="R49" s="73" t="e">
        <f>IF(AND('Mapa final'!#REF!="Muy Baja",'Mapa final'!#REF!="Menor"),CONCATENATE("R4C",'Mapa final'!#REF!),"")</f>
        <v>#REF!</v>
      </c>
      <c r="S49" s="73" t="e">
        <f>IF(AND('Mapa final'!#REF!="Muy Baja",'Mapa final'!#REF!="Menor"),CONCATENATE("R4C",'Mapa final'!#REF!),"")</f>
        <v>#REF!</v>
      </c>
      <c r="T49" s="73" t="e">
        <f>IF(AND('Mapa final'!#REF!="Muy Baja",'Mapa final'!#REF!="Menor"),CONCATENATE("R4C",'Mapa final'!#REF!),"")</f>
        <v>#REF!</v>
      </c>
      <c r="U49" s="74" t="e">
        <f>IF(AND('Mapa final'!#REF!="Muy Baja",'Mapa final'!#REF!="Menor"),CONCATENATE("R4C",'Mapa final'!#REF!),"")</f>
        <v>#REF!</v>
      </c>
      <c r="V49" s="63" t="str">
        <f>IF(AND('Mapa final'!$Y$31="Muy Baja",'Mapa final'!$AA$31="Moderado"),CONCATENATE("R4C",'Mapa final'!$O$31),"")</f>
        <v/>
      </c>
      <c r="W49" s="64" t="str">
        <f>IF(AND('Mapa final'!$Y$32="Muy Baja",'Mapa final'!$AA$32="Moderado"),CONCATENATE("R4C",'Mapa final'!$O$32),"")</f>
        <v/>
      </c>
      <c r="X49" s="64" t="e">
        <f>IF(AND('Mapa final'!#REF!="Muy Baja",'Mapa final'!#REF!="Moderado"),CONCATENATE("R4C",'Mapa final'!#REF!),"")</f>
        <v>#REF!</v>
      </c>
      <c r="Y49" s="64" t="e">
        <f>IF(AND('Mapa final'!#REF!="Muy Baja",'Mapa final'!#REF!="Moderado"),CONCATENATE("R4C",'Mapa final'!#REF!),"")</f>
        <v>#REF!</v>
      </c>
      <c r="Z49" s="64" t="e">
        <f>IF(AND('Mapa final'!#REF!="Muy Baja",'Mapa final'!#REF!="Moderado"),CONCATENATE("R4C",'Mapa final'!#REF!),"")</f>
        <v>#REF!</v>
      </c>
      <c r="AA49" s="65" t="e">
        <f>IF(AND('Mapa final'!#REF!="Muy Baja",'Mapa final'!#REF!="Moderado"),CONCATENATE("R4C",'Mapa final'!#REF!),"")</f>
        <v>#REF!</v>
      </c>
      <c r="AB49" s="48" t="str">
        <f>IF(AND('Mapa final'!$Y$31="Muy Baja",'Mapa final'!$AA$31="Mayor"),CONCATENATE("R4C",'Mapa final'!$O$31),"")</f>
        <v/>
      </c>
      <c r="AC49" s="49" t="str">
        <f>IF(AND('Mapa final'!$Y$32="Muy Baja",'Mapa final'!$AA$32="Mayor"),CONCATENATE("R4C",'Mapa final'!$O$32),"")</f>
        <v/>
      </c>
      <c r="AD49" s="49" t="e">
        <f>IF(AND('Mapa final'!#REF!="Muy Baja",'Mapa final'!#REF!="Mayor"),CONCATENATE("R4C",'Mapa final'!#REF!),"")</f>
        <v>#REF!</v>
      </c>
      <c r="AE49" s="49" t="e">
        <f>IF(AND('Mapa final'!#REF!="Muy Baja",'Mapa final'!#REF!="Mayor"),CONCATENATE("R4C",'Mapa final'!#REF!),"")</f>
        <v>#REF!</v>
      </c>
      <c r="AF49" s="49" t="e">
        <f>IF(AND('Mapa final'!#REF!="Muy Baja",'Mapa final'!#REF!="Mayor"),CONCATENATE("R4C",'Mapa final'!#REF!),"")</f>
        <v>#REF!</v>
      </c>
      <c r="AG49" s="50" t="e">
        <f>IF(AND('Mapa final'!#REF!="Muy Baja",'Mapa final'!#REF!="Mayor"),CONCATENATE("R4C",'Mapa final'!#REF!),"")</f>
        <v>#REF!</v>
      </c>
      <c r="AH49" s="51" t="str">
        <f>IF(AND('Mapa final'!$Y$31="Muy Baja",'Mapa final'!$AA$31="Catastrófico"),CONCATENATE("R4C",'Mapa final'!$O$31),"")</f>
        <v/>
      </c>
      <c r="AI49" s="52" t="str">
        <f>IF(AND('Mapa final'!$Y$32="Muy Baja",'Mapa final'!$AA$32="Catastrófico"),CONCATENATE("R4C",'Mapa final'!$O$32),"")</f>
        <v/>
      </c>
      <c r="AJ49" s="52" t="e">
        <f>IF(AND('Mapa final'!#REF!="Muy Baja",'Mapa final'!#REF!="Catastrófico"),CONCATENATE("R4C",'Mapa final'!#REF!),"")</f>
        <v>#REF!</v>
      </c>
      <c r="AK49" s="52" t="e">
        <f>IF(AND('Mapa final'!#REF!="Muy Baja",'Mapa final'!#REF!="Catastrófico"),CONCATENATE("R4C",'Mapa final'!#REF!),"")</f>
        <v>#REF!</v>
      </c>
      <c r="AL49" s="52" t="e">
        <f>IF(AND('Mapa final'!#REF!="Muy Baja",'Mapa final'!#REF!="Catastrófico"),CONCATENATE("R4C",'Mapa final'!#REF!),"")</f>
        <v>#REF!</v>
      </c>
      <c r="AM49" s="53" t="e">
        <f>IF(AND('Mapa final'!#REF!="Muy Baja",'Mapa final'!#REF!="Catastrófico"),CONCATENATE("R4C",'Mapa final'!#REF!),"")</f>
        <v>#REF!</v>
      </c>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row>
    <row r="50" spans="1:80" ht="15" customHeight="1" x14ac:dyDescent="0.25">
      <c r="A50" s="79"/>
      <c r="B50" s="346"/>
      <c r="C50" s="346"/>
      <c r="D50" s="347"/>
      <c r="E50" s="445"/>
      <c r="F50" s="444"/>
      <c r="G50" s="444"/>
      <c r="H50" s="444"/>
      <c r="I50" s="460"/>
      <c r="J50" s="72" t="str">
        <f>IF(AND('Mapa final'!$Y$33="Muy Baja",'Mapa final'!$AA$33="Leve"),CONCATENATE("R5C",'Mapa final'!$O$33),"")</f>
        <v/>
      </c>
      <c r="K50" s="73" t="str">
        <f>IF(AND('Mapa final'!$Y$34="Muy Baja",'Mapa final'!$AA$34="Leve"),CONCATENATE("R5C",'Mapa final'!$O$34),"")</f>
        <v/>
      </c>
      <c r="L50" s="73" t="e">
        <f>IF(AND('Mapa final'!#REF!="Muy Baja",'Mapa final'!#REF!="Leve"),CONCATENATE("R5C",'Mapa final'!#REF!),"")</f>
        <v>#REF!</v>
      </c>
      <c r="M50" s="73" t="e">
        <f>IF(AND('Mapa final'!#REF!="Muy Baja",'Mapa final'!#REF!="Leve"),CONCATENATE("R5C",'Mapa final'!#REF!),"")</f>
        <v>#REF!</v>
      </c>
      <c r="N50" s="73" t="e">
        <f>IF(AND('Mapa final'!#REF!="Muy Baja",'Mapa final'!#REF!="Leve"),CONCATENATE("R5C",'Mapa final'!#REF!),"")</f>
        <v>#REF!</v>
      </c>
      <c r="O50" s="74" t="e">
        <f>IF(AND('Mapa final'!#REF!="Muy Baja",'Mapa final'!#REF!="Leve"),CONCATENATE("R5C",'Mapa final'!#REF!),"")</f>
        <v>#REF!</v>
      </c>
      <c r="P50" s="72" t="str">
        <f>IF(AND('Mapa final'!$Y$33="Muy Baja",'Mapa final'!$AA$33="Menor"),CONCATENATE("R5C",'Mapa final'!$O$33),"")</f>
        <v/>
      </c>
      <c r="Q50" s="73" t="str">
        <f>IF(AND('Mapa final'!$Y$34="Muy Baja",'Mapa final'!$AA$34="Menor"),CONCATENATE("R5C",'Mapa final'!$O$34),"")</f>
        <v/>
      </c>
      <c r="R50" s="73" t="e">
        <f>IF(AND('Mapa final'!#REF!="Muy Baja",'Mapa final'!#REF!="Menor"),CONCATENATE("R5C",'Mapa final'!#REF!),"")</f>
        <v>#REF!</v>
      </c>
      <c r="S50" s="73" t="e">
        <f>IF(AND('Mapa final'!#REF!="Muy Baja",'Mapa final'!#REF!="Menor"),CONCATENATE("R5C",'Mapa final'!#REF!),"")</f>
        <v>#REF!</v>
      </c>
      <c r="T50" s="73" t="e">
        <f>IF(AND('Mapa final'!#REF!="Muy Baja",'Mapa final'!#REF!="Menor"),CONCATENATE("R5C",'Mapa final'!#REF!),"")</f>
        <v>#REF!</v>
      </c>
      <c r="U50" s="74" t="e">
        <f>IF(AND('Mapa final'!#REF!="Muy Baja",'Mapa final'!#REF!="Menor"),CONCATENATE("R5C",'Mapa final'!#REF!),"")</f>
        <v>#REF!</v>
      </c>
      <c r="V50" s="63" t="str">
        <f>IF(AND('Mapa final'!$Y$33="Muy Baja",'Mapa final'!$AA$33="Moderado"),CONCATENATE("R5C",'Mapa final'!$O$33),"")</f>
        <v/>
      </c>
      <c r="W50" s="64" t="str">
        <f>IF(AND('Mapa final'!$Y$34="Muy Baja",'Mapa final'!$AA$34="Moderado"),CONCATENATE("R5C",'Mapa final'!$O$34),"")</f>
        <v/>
      </c>
      <c r="X50" s="64" t="e">
        <f>IF(AND('Mapa final'!#REF!="Muy Baja",'Mapa final'!#REF!="Moderado"),CONCATENATE("R5C",'Mapa final'!#REF!),"")</f>
        <v>#REF!</v>
      </c>
      <c r="Y50" s="64" t="e">
        <f>IF(AND('Mapa final'!#REF!="Muy Baja",'Mapa final'!#REF!="Moderado"),CONCATENATE("R5C",'Mapa final'!#REF!),"")</f>
        <v>#REF!</v>
      </c>
      <c r="Z50" s="64" t="e">
        <f>IF(AND('Mapa final'!#REF!="Muy Baja",'Mapa final'!#REF!="Moderado"),CONCATENATE("R5C",'Mapa final'!#REF!),"")</f>
        <v>#REF!</v>
      </c>
      <c r="AA50" s="65" t="e">
        <f>IF(AND('Mapa final'!#REF!="Muy Baja",'Mapa final'!#REF!="Moderado"),CONCATENATE("R5C",'Mapa final'!#REF!),"")</f>
        <v>#REF!</v>
      </c>
      <c r="AB50" s="48" t="str">
        <f>IF(AND('Mapa final'!$Y$33="Muy Baja",'Mapa final'!$AA$33="Mayor"),CONCATENATE("R5C",'Mapa final'!$O$33),"")</f>
        <v/>
      </c>
      <c r="AC50" s="49" t="str">
        <f>IF(AND('Mapa final'!$Y$34="Muy Baja",'Mapa final'!$AA$34="Mayor"),CONCATENATE("R5C",'Mapa final'!$O$34),"")</f>
        <v/>
      </c>
      <c r="AD50" s="49" t="e">
        <f>IF(AND('Mapa final'!#REF!="Muy Baja",'Mapa final'!#REF!="Mayor"),CONCATENATE("R5C",'Mapa final'!#REF!),"")</f>
        <v>#REF!</v>
      </c>
      <c r="AE50" s="49" t="e">
        <f>IF(AND('Mapa final'!#REF!="Muy Baja",'Mapa final'!#REF!="Mayor"),CONCATENATE("R5C",'Mapa final'!#REF!),"")</f>
        <v>#REF!</v>
      </c>
      <c r="AF50" s="49" t="e">
        <f>IF(AND('Mapa final'!#REF!="Muy Baja",'Mapa final'!#REF!="Mayor"),CONCATENATE("R5C",'Mapa final'!#REF!),"")</f>
        <v>#REF!</v>
      </c>
      <c r="AG50" s="50" t="e">
        <f>IF(AND('Mapa final'!#REF!="Muy Baja",'Mapa final'!#REF!="Mayor"),CONCATENATE("R5C",'Mapa final'!#REF!),"")</f>
        <v>#REF!</v>
      </c>
      <c r="AH50" s="51" t="str">
        <f>IF(AND('Mapa final'!$Y$33="Muy Baja",'Mapa final'!$AA$33="Catastrófico"),CONCATENATE("R5C",'Mapa final'!$O$33),"")</f>
        <v/>
      </c>
      <c r="AI50" s="52" t="str">
        <f>IF(AND('Mapa final'!$Y$34="Muy Baja",'Mapa final'!$AA$34="Catastrófico"),CONCATENATE("R5C",'Mapa final'!$O$34),"")</f>
        <v/>
      </c>
      <c r="AJ50" s="52" t="e">
        <f>IF(AND('Mapa final'!#REF!="Muy Baja",'Mapa final'!#REF!="Catastrófico"),CONCATENATE("R5C",'Mapa final'!#REF!),"")</f>
        <v>#REF!</v>
      </c>
      <c r="AK50" s="52" t="e">
        <f>IF(AND('Mapa final'!#REF!="Muy Baja",'Mapa final'!#REF!="Catastrófico"),CONCATENATE("R5C",'Mapa final'!#REF!),"")</f>
        <v>#REF!</v>
      </c>
      <c r="AL50" s="52" t="e">
        <f>IF(AND('Mapa final'!#REF!="Muy Baja",'Mapa final'!#REF!="Catastrófico"),CONCATENATE("R5C",'Mapa final'!#REF!),"")</f>
        <v>#REF!</v>
      </c>
      <c r="AM50" s="53" t="e">
        <f>IF(AND('Mapa final'!#REF!="Muy Baja",'Mapa final'!#REF!="Catastrófico"),CONCATENATE("R5C",'Mapa final'!#REF!),"")</f>
        <v>#REF!</v>
      </c>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row>
    <row r="51" spans="1:80" ht="15" customHeight="1" x14ac:dyDescent="0.25">
      <c r="A51" s="79"/>
      <c r="B51" s="346"/>
      <c r="C51" s="346"/>
      <c r="D51" s="347"/>
      <c r="E51" s="445"/>
      <c r="F51" s="444"/>
      <c r="G51" s="444"/>
      <c r="H51" s="444"/>
      <c r="I51" s="460"/>
      <c r="J51" s="72" t="str">
        <f>IF(AND('Mapa final'!$Y$35="Muy Baja",'Mapa final'!$AA$35="Leve"),CONCATENATE("R6C",'Mapa final'!$O$35),"")</f>
        <v/>
      </c>
      <c r="K51" s="73" t="e">
        <f>IF(AND('Mapa final'!#REF!="Muy Baja",'Mapa final'!#REF!="Leve"),CONCATENATE("R6C",'Mapa final'!#REF!),"")</f>
        <v>#REF!</v>
      </c>
      <c r="L51" s="73" t="e">
        <f>IF(AND('Mapa final'!#REF!="Muy Baja",'Mapa final'!#REF!="Leve"),CONCATENATE("R6C",'Mapa final'!#REF!),"")</f>
        <v>#REF!</v>
      </c>
      <c r="M51" s="73" t="e">
        <f>IF(AND('Mapa final'!#REF!="Muy Baja",'Mapa final'!#REF!="Leve"),CONCATENATE("R6C",'Mapa final'!#REF!),"")</f>
        <v>#REF!</v>
      </c>
      <c r="N51" s="73" t="e">
        <f>IF(AND('Mapa final'!#REF!="Muy Baja",'Mapa final'!#REF!="Leve"),CONCATENATE("R6C",'Mapa final'!#REF!),"")</f>
        <v>#REF!</v>
      </c>
      <c r="O51" s="74" t="e">
        <f>IF(AND('Mapa final'!#REF!="Muy Baja",'Mapa final'!#REF!="Leve"),CONCATENATE("R6C",'Mapa final'!#REF!),"")</f>
        <v>#REF!</v>
      </c>
      <c r="P51" s="72" t="str">
        <f>IF(AND('Mapa final'!$Y$35="Muy Baja",'Mapa final'!$AA$35="Menor"),CONCATENATE("R6C",'Mapa final'!$O$35),"")</f>
        <v/>
      </c>
      <c r="Q51" s="73" t="e">
        <f>IF(AND('Mapa final'!#REF!="Muy Baja",'Mapa final'!#REF!="Menor"),CONCATENATE("R6C",'Mapa final'!#REF!),"")</f>
        <v>#REF!</v>
      </c>
      <c r="R51" s="73" t="e">
        <f>IF(AND('Mapa final'!#REF!="Muy Baja",'Mapa final'!#REF!="Menor"),CONCATENATE("R6C",'Mapa final'!#REF!),"")</f>
        <v>#REF!</v>
      </c>
      <c r="S51" s="73" t="e">
        <f>IF(AND('Mapa final'!#REF!="Muy Baja",'Mapa final'!#REF!="Menor"),CONCATENATE("R6C",'Mapa final'!#REF!),"")</f>
        <v>#REF!</v>
      </c>
      <c r="T51" s="73" t="e">
        <f>IF(AND('Mapa final'!#REF!="Muy Baja",'Mapa final'!#REF!="Menor"),CONCATENATE("R6C",'Mapa final'!#REF!),"")</f>
        <v>#REF!</v>
      </c>
      <c r="U51" s="74" t="e">
        <f>IF(AND('Mapa final'!#REF!="Muy Baja",'Mapa final'!#REF!="Menor"),CONCATENATE("R6C",'Mapa final'!#REF!),"")</f>
        <v>#REF!</v>
      </c>
      <c r="V51" s="63" t="str">
        <f>IF(AND('Mapa final'!$Y$35="Muy Baja",'Mapa final'!$AA$35="Moderado"),CONCATENATE("R6C",'Mapa final'!$O$35),"")</f>
        <v/>
      </c>
      <c r="W51" s="64" t="e">
        <f>IF(AND('Mapa final'!#REF!="Muy Baja",'Mapa final'!#REF!="Moderado"),CONCATENATE("R6C",'Mapa final'!#REF!),"")</f>
        <v>#REF!</v>
      </c>
      <c r="X51" s="64" t="e">
        <f>IF(AND('Mapa final'!#REF!="Muy Baja",'Mapa final'!#REF!="Moderado"),CONCATENATE("R6C",'Mapa final'!#REF!),"")</f>
        <v>#REF!</v>
      </c>
      <c r="Y51" s="64" t="e">
        <f>IF(AND('Mapa final'!#REF!="Muy Baja",'Mapa final'!#REF!="Moderado"),CONCATENATE("R6C",'Mapa final'!#REF!),"")</f>
        <v>#REF!</v>
      </c>
      <c r="Z51" s="64" t="e">
        <f>IF(AND('Mapa final'!#REF!="Muy Baja",'Mapa final'!#REF!="Moderado"),CONCATENATE("R6C",'Mapa final'!#REF!),"")</f>
        <v>#REF!</v>
      </c>
      <c r="AA51" s="65" t="e">
        <f>IF(AND('Mapa final'!#REF!="Muy Baja",'Mapa final'!#REF!="Moderado"),CONCATENATE("R6C",'Mapa final'!#REF!),"")</f>
        <v>#REF!</v>
      </c>
      <c r="AB51" s="48" t="str">
        <f>IF(AND('Mapa final'!$Y$35="Muy Baja",'Mapa final'!$AA$35="Mayor"),CONCATENATE("R6C",'Mapa final'!$O$35),"")</f>
        <v/>
      </c>
      <c r="AC51" s="49" t="e">
        <f>IF(AND('Mapa final'!#REF!="Muy Baja",'Mapa final'!#REF!="Mayor"),CONCATENATE("R6C",'Mapa final'!#REF!),"")</f>
        <v>#REF!</v>
      </c>
      <c r="AD51" s="49" t="e">
        <f>IF(AND('Mapa final'!#REF!="Muy Baja",'Mapa final'!#REF!="Mayor"),CONCATENATE("R6C",'Mapa final'!#REF!),"")</f>
        <v>#REF!</v>
      </c>
      <c r="AE51" s="49" t="e">
        <f>IF(AND('Mapa final'!#REF!="Muy Baja",'Mapa final'!#REF!="Mayor"),CONCATENATE("R6C",'Mapa final'!#REF!),"")</f>
        <v>#REF!</v>
      </c>
      <c r="AF51" s="49" t="e">
        <f>IF(AND('Mapa final'!#REF!="Muy Baja",'Mapa final'!#REF!="Mayor"),CONCATENATE("R6C",'Mapa final'!#REF!),"")</f>
        <v>#REF!</v>
      </c>
      <c r="AG51" s="50" t="e">
        <f>IF(AND('Mapa final'!#REF!="Muy Baja",'Mapa final'!#REF!="Mayor"),CONCATENATE("R6C",'Mapa final'!#REF!),"")</f>
        <v>#REF!</v>
      </c>
      <c r="AH51" s="51" t="str">
        <f>IF(AND('Mapa final'!$Y$35="Muy Baja",'Mapa final'!$AA$35="Catastrófico"),CONCATENATE("R6C",'Mapa final'!$O$35),"")</f>
        <v/>
      </c>
      <c r="AI51" s="52" t="e">
        <f>IF(AND('Mapa final'!#REF!="Muy Baja",'Mapa final'!#REF!="Catastrófico"),CONCATENATE("R6C",'Mapa final'!#REF!),"")</f>
        <v>#REF!</v>
      </c>
      <c r="AJ51" s="52" t="e">
        <f>IF(AND('Mapa final'!#REF!="Muy Baja",'Mapa final'!#REF!="Catastrófico"),CONCATENATE("R6C",'Mapa final'!#REF!),"")</f>
        <v>#REF!</v>
      </c>
      <c r="AK51" s="52" t="e">
        <f>IF(AND('Mapa final'!#REF!="Muy Baja",'Mapa final'!#REF!="Catastrófico"),CONCATENATE("R6C",'Mapa final'!#REF!),"")</f>
        <v>#REF!</v>
      </c>
      <c r="AL51" s="52" t="e">
        <f>IF(AND('Mapa final'!#REF!="Muy Baja",'Mapa final'!#REF!="Catastrófico"),CONCATENATE("R6C",'Mapa final'!#REF!),"")</f>
        <v>#REF!</v>
      </c>
      <c r="AM51" s="53" t="e">
        <f>IF(AND('Mapa final'!#REF!="Muy Baja",'Mapa final'!#REF!="Catastrófico"),CONCATENATE("R6C",'Mapa final'!#REF!),"")</f>
        <v>#REF!</v>
      </c>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row>
    <row r="52" spans="1:80" ht="15" customHeight="1" x14ac:dyDescent="0.25">
      <c r="A52" s="79"/>
      <c r="B52" s="346"/>
      <c r="C52" s="346"/>
      <c r="D52" s="347"/>
      <c r="E52" s="445"/>
      <c r="F52" s="444"/>
      <c r="G52" s="444"/>
      <c r="H52" s="444"/>
      <c r="I52" s="460"/>
      <c r="J52" s="72" t="str">
        <f>IF(AND('Mapa final'!$Y$41="Muy Baja",'Mapa final'!$AA$41="Leve"),CONCATENATE("R7C",'Mapa final'!$O$41),"")</f>
        <v/>
      </c>
      <c r="K52" s="73" t="str">
        <f>IF(AND('Mapa final'!$Y$42="Muy Baja",'Mapa final'!$AA$42="Leve"),CONCATENATE("R7C",'Mapa final'!$O$42),"")</f>
        <v/>
      </c>
      <c r="L52" s="73" t="e">
        <f>IF(AND('Mapa final'!#REF!="Muy Baja",'Mapa final'!#REF!="Leve"),CONCATENATE("R7C",'Mapa final'!#REF!),"")</f>
        <v>#REF!</v>
      </c>
      <c r="M52" s="73" t="e">
        <f>IF(AND('Mapa final'!#REF!="Muy Baja",'Mapa final'!#REF!="Leve"),CONCATENATE("R7C",'Mapa final'!#REF!),"")</f>
        <v>#REF!</v>
      </c>
      <c r="N52" s="73" t="e">
        <f>IF(AND('Mapa final'!#REF!="Muy Baja",'Mapa final'!#REF!="Leve"),CONCATENATE("R7C",'Mapa final'!#REF!),"")</f>
        <v>#REF!</v>
      </c>
      <c r="O52" s="74" t="e">
        <f>IF(AND('Mapa final'!#REF!="Muy Baja",'Mapa final'!#REF!="Leve"),CONCATENATE("R7C",'Mapa final'!#REF!),"")</f>
        <v>#REF!</v>
      </c>
      <c r="P52" s="72" t="str">
        <f>IF(AND('Mapa final'!$Y$41="Muy Baja",'Mapa final'!$AA$41="Menor"),CONCATENATE("R7C",'Mapa final'!$O$41),"")</f>
        <v/>
      </c>
      <c r="Q52" s="73" t="str">
        <f>IF(AND('Mapa final'!$Y$42="Muy Baja",'Mapa final'!$AA$42="Menor"),CONCATENATE("R7C",'Mapa final'!$O$42),"")</f>
        <v/>
      </c>
      <c r="R52" s="73" t="e">
        <f>IF(AND('Mapa final'!#REF!="Muy Baja",'Mapa final'!#REF!="Menor"),CONCATENATE("R7C",'Mapa final'!#REF!),"")</f>
        <v>#REF!</v>
      </c>
      <c r="S52" s="73" t="e">
        <f>IF(AND('Mapa final'!#REF!="Muy Baja",'Mapa final'!#REF!="Menor"),CONCATENATE("R7C",'Mapa final'!#REF!),"")</f>
        <v>#REF!</v>
      </c>
      <c r="T52" s="73" t="e">
        <f>IF(AND('Mapa final'!#REF!="Muy Baja",'Mapa final'!#REF!="Menor"),CONCATENATE("R7C",'Mapa final'!#REF!),"")</f>
        <v>#REF!</v>
      </c>
      <c r="U52" s="74" t="e">
        <f>IF(AND('Mapa final'!#REF!="Muy Baja",'Mapa final'!#REF!="Menor"),CONCATENATE("R7C",'Mapa final'!#REF!),"")</f>
        <v>#REF!</v>
      </c>
      <c r="V52" s="63" t="str">
        <f>IF(AND('Mapa final'!$Y$41="Muy Baja",'Mapa final'!$AA$41="Moderado"),CONCATENATE("R7C",'Mapa final'!$O$41),"")</f>
        <v/>
      </c>
      <c r="W52" s="64" t="str">
        <f>IF(AND('Mapa final'!$Y$42="Muy Baja",'Mapa final'!$AA$42="Moderado"),CONCATENATE("R7C",'Mapa final'!$O$42),"")</f>
        <v/>
      </c>
      <c r="X52" s="64" t="e">
        <f>IF(AND('Mapa final'!#REF!="Muy Baja",'Mapa final'!#REF!="Moderado"),CONCATENATE("R7C",'Mapa final'!#REF!),"")</f>
        <v>#REF!</v>
      </c>
      <c r="Y52" s="64" t="e">
        <f>IF(AND('Mapa final'!#REF!="Muy Baja",'Mapa final'!#REF!="Moderado"),CONCATENATE("R7C",'Mapa final'!#REF!),"")</f>
        <v>#REF!</v>
      </c>
      <c r="Z52" s="64" t="e">
        <f>IF(AND('Mapa final'!#REF!="Muy Baja",'Mapa final'!#REF!="Moderado"),CONCATENATE("R7C",'Mapa final'!#REF!),"")</f>
        <v>#REF!</v>
      </c>
      <c r="AA52" s="65" t="e">
        <f>IF(AND('Mapa final'!#REF!="Muy Baja",'Mapa final'!#REF!="Moderado"),CONCATENATE("R7C",'Mapa final'!#REF!),"")</f>
        <v>#REF!</v>
      </c>
      <c r="AB52" s="48" t="str">
        <f>IF(AND('Mapa final'!$Y$41="Muy Baja",'Mapa final'!$AA$41="Mayor"),CONCATENATE("R7C",'Mapa final'!$O$41),"")</f>
        <v/>
      </c>
      <c r="AC52" s="49" t="str">
        <f>IF(AND('Mapa final'!$Y$42="Muy Baja",'Mapa final'!$AA$42="Mayor"),CONCATENATE("R7C",'Mapa final'!$O$42),"")</f>
        <v/>
      </c>
      <c r="AD52" s="49" t="e">
        <f>IF(AND('Mapa final'!#REF!="Muy Baja",'Mapa final'!#REF!="Mayor"),CONCATENATE("R7C",'Mapa final'!#REF!),"")</f>
        <v>#REF!</v>
      </c>
      <c r="AE52" s="49" t="e">
        <f>IF(AND('Mapa final'!#REF!="Muy Baja",'Mapa final'!#REF!="Mayor"),CONCATENATE("R7C",'Mapa final'!#REF!),"")</f>
        <v>#REF!</v>
      </c>
      <c r="AF52" s="49" t="e">
        <f>IF(AND('Mapa final'!#REF!="Muy Baja",'Mapa final'!#REF!="Mayor"),CONCATENATE("R7C",'Mapa final'!#REF!),"")</f>
        <v>#REF!</v>
      </c>
      <c r="AG52" s="50" t="e">
        <f>IF(AND('Mapa final'!#REF!="Muy Baja",'Mapa final'!#REF!="Mayor"),CONCATENATE("R7C",'Mapa final'!#REF!),"")</f>
        <v>#REF!</v>
      </c>
      <c r="AH52" s="51" t="str">
        <f>IF(AND('Mapa final'!$Y$41="Muy Baja",'Mapa final'!$AA$41="Catastrófico"),CONCATENATE("R7C",'Mapa final'!$O$41),"")</f>
        <v/>
      </c>
      <c r="AI52" s="52" t="str">
        <f>IF(AND('Mapa final'!$Y$42="Muy Baja",'Mapa final'!$AA$42="Catastrófico"),CONCATENATE("R7C",'Mapa final'!$O$42),"")</f>
        <v/>
      </c>
      <c r="AJ52" s="52" t="e">
        <f>IF(AND('Mapa final'!#REF!="Muy Baja",'Mapa final'!#REF!="Catastrófico"),CONCATENATE("R7C",'Mapa final'!#REF!),"")</f>
        <v>#REF!</v>
      </c>
      <c r="AK52" s="52" t="e">
        <f>IF(AND('Mapa final'!#REF!="Muy Baja",'Mapa final'!#REF!="Catastrófico"),CONCATENATE("R7C",'Mapa final'!#REF!),"")</f>
        <v>#REF!</v>
      </c>
      <c r="AL52" s="52" t="e">
        <f>IF(AND('Mapa final'!#REF!="Muy Baja",'Mapa final'!#REF!="Catastrófico"),CONCATENATE("R7C",'Mapa final'!#REF!),"")</f>
        <v>#REF!</v>
      </c>
      <c r="AM52" s="53" t="e">
        <f>IF(AND('Mapa final'!#REF!="Muy Baja",'Mapa final'!#REF!="Catastrófico"),CONCATENATE("R7C",'Mapa final'!#REF!),"")</f>
        <v>#REF!</v>
      </c>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row>
    <row r="53" spans="1:80" ht="15" customHeight="1" x14ac:dyDescent="0.25">
      <c r="A53" s="79"/>
      <c r="B53" s="346"/>
      <c r="C53" s="346"/>
      <c r="D53" s="347"/>
      <c r="E53" s="445"/>
      <c r="F53" s="444"/>
      <c r="G53" s="444"/>
      <c r="H53" s="444"/>
      <c r="I53" s="460"/>
      <c r="J53" s="72" t="str">
        <f>IF(AND('Mapa final'!$Y$43="Muy Baja",'Mapa final'!$AA$43="Leve"),CONCATENATE("R8C",'Mapa final'!$O$43),"")</f>
        <v/>
      </c>
      <c r="K53" s="73" t="str">
        <f>IF(AND('Mapa final'!$Y$44="Muy Baja",'Mapa final'!$AA$44="Leve"),CONCATENATE("R8C",'Mapa final'!$O$44),"")</f>
        <v/>
      </c>
      <c r="L53" s="73" t="str">
        <f>IF(AND('Mapa final'!$Y$45="Muy Baja",'Mapa final'!$AA$45="Leve"),CONCATENATE("R8C",'Mapa final'!$O$45),"")</f>
        <v/>
      </c>
      <c r="M53" s="73" t="str">
        <f>IF(AND('Mapa final'!$Y$46="Muy Baja",'Mapa final'!$AA$46="Leve"),CONCATENATE("R8C",'Mapa final'!$O$46),"")</f>
        <v/>
      </c>
      <c r="N53" s="73" t="str">
        <f>IF(AND('Mapa final'!$Y$47="Muy Baja",'Mapa final'!$AA$47="Leve"),CONCATENATE("R8C",'Mapa final'!$O$47),"")</f>
        <v/>
      </c>
      <c r="O53" s="74" t="str">
        <f>IF(AND('Mapa final'!$Y$48="Muy Baja",'Mapa final'!$AA$48="Leve"),CONCATENATE("R8C",'Mapa final'!$O$48),"")</f>
        <v/>
      </c>
      <c r="P53" s="72" t="str">
        <f>IF(AND('Mapa final'!$Y$43="Muy Baja",'Mapa final'!$AA$43="Menor"),CONCATENATE("R8C",'Mapa final'!$O$43),"")</f>
        <v/>
      </c>
      <c r="Q53" s="73" t="str">
        <f>IF(AND('Mapa final'!$Y$44="Muy Baja",'Mapa final'!$AA$44="Menor"),CONCATENATE("R8C",'Mapa final'!$O$44),"")</f>
        <v/>
      </c>
      <c r="R53" s="73" t="str">
        <f>IF(AND('Mapa final'!$Y$45="Muy Baja",'Mapa final'!$AA$45="Menor"),CONCATENATE("R8C",'Mapa final'!$O$45),"")</f>
        <v/>
      </c>
      <c r="S53" s="73" t="str">
        <f>IF(AND('Mapa final'!$Y$46="Muy Baja",'Mapa final'!$AA$46="Menor"),CONCATENATE("R8C",'Mapa final'!$O$46),"")</f>
        <v/>
      </c>
      <c r="T53" s="73" t="str">
        <f>IF(AND('Mapa final'!$Y$47="Muy Baja",'Mapa final'!$AA$47="Menor"),CONCATENATE("R8C",'Mapa final'!$O$47),"")</f>
        <v/>
      </c>
      <c r="U53" s="74" t="str">
        <f>IF(AND('Mapa final'!$Y$48="Muy Baja",'Mapa final'!$AA$48="Menor"),CONCATENATE("R8C",'Mapa final'!$O$48),"")</f>
        <v/>
      </c>
      <c r="V53" s="63" t="str">
        <f>IF(AND('Mapa final'!$Y$43="Muy Baja",'Mapa final'!$AA$43="Moderado"),CONCATENATE("R8C",'Mapa final'!$O$43),"")</f>
        <v/>
      </c>
      <c r="W53" s="64" t="str">
        <f>IF(AND('Mapa final'!$Y$44="Muy Baja",'Mapa final'!$AA$44="Moderado"),CONCATENATE("R8C",'Mapa final'!$O$44),"")</f>
        <v/>
      </c>
      <c r="X53" s="64" t="str">
        <f>IF(AND('Mapa final'!$Y$45="Muy Baja",'Mapa final'!$AA$45="Moderado"),CONCATENATE("R8C",'Mapa final'!$O$45),"")</f>
        <v/>
      </c>
      <c r="Y53" s="64" t="str">
        <f>IF(AND('Mapa final'!$Y$46="Muy Baja",'Mapa final'!$AA$46="Moderado"),CONCATENATE("R8C",'Mapa final'!$O$46),"")</f>
        <v/>
      </c>
      <c r="Z53" s="64" t="str">
        <f>IF(AND('Mapa final'!$Y$47="Muy Baja",'Mapa final'!$AA$47="Moderado"),CONCATENATE("R8C",'Mapa final'!$O$47),"")</f>
        <v/>
      </c>
      <c r="AA53" s="65" t="str">
        <f>IF(AND('Mapa final'!$Y$48="Muy Baja",'Mapa final'!$AA$48="Moderado"),CONCATENATE("R8C",'Mapa final'!$O$48),"")</f>
        <v/>
      </c>
      <c r="AB53" s="48" t="str">
        <f>IF(AND('Mapa final'!$Y$43="Muy Baja",'Mapa final'!$AA$43="Mayor"),CONCATENATE("R8C",'Mapa final'!$O$43),"")</f>
        <v/>
      </c>
      <c r="AC53" s="49" t="str">
        <f>IF(AND('Mapa final'!$Y$44="Muy Baja",'Mapa final'!$AA$44="Mayor"),CONCATENATE("R8C",'Mapa final'!$O$44),"")</f>
        <v/>
      </c>
      <c r="AD53" s="49" t="str">
        <f>IF(AND('Mapa final'!$Y$45="Muy Baja",'Mapa final'!$AA$45="Mayor"),CONCATENATE("R8C",'Mapa final'!$O$45),"")</f>
        <v/>
      </c>
      <c r="AE53" s="49" t="str">
        <f>IF(AND('Mapa final'!$Y$46="Muy Baja",'Mapa final'!$AA$46="Mayor"),CONCATENATE("R8C",'Mapa final'!$O$46),"")</f>
        <v/>
      </c>
      <c r="AF53" s="49" t="str">
        <f>IF(AND('Mapa final'!$Y$47="Muy Baja",'Mapa final'!$AA$47="Mayor"),CONCATENATE("R8C",'Mapa final'!$O$47),"")</f>
        <v/>
      </c>
      <c r="AG53" s="50" t="str">
        <f>IF(AND('Mapa final'!$Y$48="Muy Baja",'Mapa final'!$AA$48="Mayor"),CONCATENATE("R8C",'Mapa final'!$O$48),"")</f>
        <v/>
      </c>
      <c r="AH53" s="51" t="str">
        <f>IF(AND('Mapa final'!$Y$43="Muy Baja",'Mapa final'!$AA$43="Catastrófico"),CONCATENATE("R8C",'Mapa final'!$O$43),"")</f>
        <v/>
      </c>
      <c r="AI53" s="52" t="str">
        <f>IF(AND('Mapa final'!$Y$44="Muy Baja",'Mapa final'!$AA$44="Catastrófico"),CONCATENATE("R8C",'Mapa final'!$O$44),"")</f>
        <v/>
      </c>
      <c r="AJ53" s="52" t="str">
        <f>IF(AND('Mapa final'!$Y$45="Muy Baja",'Mapa final'!$AA$45="Catastrófico"),CONCATENATE("R8C",'Mapa final'!$O$45),"")</f>
        <v/>
      </c>
      <c r="AK53" s="52" t="str">
        <f>IF(AND('Mapa final'!$Y$46="Muy Baja",'Mapa final'!$AA$46="Catastrófico"),CONCATENATE("R8C",'Mapa final'!$O$46),"")</f>
        <v/>
      </c>
      <c r="AL53" s="52" t="str">
        <f>IF(AND('Mapa final'!$Y$47="Muy Baja",'Mapa final'!$AA$47="Catastrófico"),CONCATENATE("R8C",'Mapa final'!$O$47),"")</f>
        <v/>
      </c>
      <c r="AM53" s="53" t="str">
        <f>IF(AND('Mapa final'!$Y$48="Muy Baja",'Mapa final'!$AA$48="Catastrófico"),CONCATENATE("R8C",'Mapa final'!$O$48),"")</f>
        <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row>
    <row r="54" spans="1:80" ht="15" customHeight="1" x14ac:dyDescent="0.25">
      <c r="A54" s="79"/>
      <c r="B54" s="346"/>
      <c r="C54" s="346"/>
      <c r="D54" s="347"/>
      <c r="E54" s="445"/>
      <c r="F54" s="444"/>
      <c r="G54" s="444"/>
      <c r="H54" s="444"/>
      <c r="I54" s="460"/>
      <c r="J54" s="72" t="str">
        <f>IF(AND('Mapa final'!$Y$49="Muy Baja",'Mapa final'!$AA$49="Leve"),CONCATENATE("R9C",'Mapa final'!$O$49),"")</f>
        <v/>
      </c>
      <c r="K54" s="73" t="str">
        <f>IF(AND('Mapa final'!$Y$50="Muy Baja",'Mapa final'!$AA$50="Leve"),CONCATENATE("R9C",'Mapa final'!$O$50),"")</f>
        <v/>
      </c>
      <c r="L54" s="73" t="str">
        <f>IF(AND('Mapa final'!$Y$51="Muy Baja",'Mapa final'!$AA$51="Leve"),CONCATENATE("R9C",'Mapa final'!$O$51),"")</f>
        <v/>
      </c>
      <c r="M54" s="73" t="str">
        <f>IF(AND('Mapa final'!$Y$52="Muy Baja",'Mapa final'!$AA$52="Leve"),CONCATENATE("R9C",'Mapa final'!$O$52),"")</f>
        <v/>
      </c>
      <c r="N54" s="73" t="str">
        <f>IF(AND('Mapa final'!$Y$53="Muy Baja",'Mapa final'!$AA$53="Leve"),CONCATENATE("R9C",'Mapa final'!$O$53),"")</f>
        <v/>
      </c>
      <c r="O54" s="74" t="str">
        <f>IF(AND('Mapa final'!$Y$54="Muy Baja",'Mapa final'!$AA$54="Leve"),CONCATENATE("R9C",'Mapa final'!$O$54),"")</f>
        <v/>
      </c>
      <c r="P54" s="72" t="str">
        <f>IF(AND('Mapa final'!$Y$49="Muy Baja",'Mapa final'!$AA$49="Menor"),CONCATENATE("R9C",'Mapa final'!$O$49),"")</f>
        <v/>
      </c>
      <c r="Q54" s="73" t="str">
        <f>IF(AND('Mapa final'!$Y$50="Muy Baja",'Mapa final'!$AA$50="Menor"),CONCATENATE("R9C",'Mapa final'!$O$50),"")</f>
        <v/>
      </c>
      <c r="R54" s="73" t="str">
        <f>IF(AND('Mapa final'!$Y$51="Muy Baja",'Mapa final'!$AA$51="Menor"),CONCATENATE("R9C",'Mapa final'!$O$51),"")</f>
        <v/>
      </c>
      <c r="S54" s="73" t="str">
        <f>IF(AND('Mapa final'!$Y$52="Muy Baja",'Mapa final'!$AA$52="Menor"),CONCATENATE("R9C",'Mapa final'!$O$52),"")</f>
        <v/>
      </c>
      <c r="T54" s="73" t="str">
        <f>IF(AND('Mapa final'!$Y$53="Muy Baja",'Mapa final'!$AA$53="Menor"),CONCATENATE("R9C",'Mapa final'!$O$53),"")</f>
        <v/>
      </c>
      <c r="U54" s="74" t="str">
        <f>IF(AND('Mapa final'!$Y$54="Muy Baja",'Mapa final'!$AA$54="Menor"),CONCATENATE("R9C",'Mapa final'!$O$54),"")</f>
        <v/>
      </c>
      <c r="V54" s="63" t="str">
        <f>IF(AND('Mapa final'!$Y$49="Muy Baja",'Mapa final'!$AA$49="Moderado"),CONCATENATE("R9C",'Mapa final'!$O$49),"")</f>
        <v/>
      </c>
      <c r="W54" s="64" t="str">
        <f>IF(AND('Mapa final'!$Y$50="Muy Baja",'Mapa final'!$AA$50="Moderado"),CONCATENATE("R9C",'Mapa final'!$O$50),"")</f>
        <v/>
      </c>
      <c r="X54" s="64" t="str">
        <f>IF(AND('Mapa final'!$Y$51="Muy Baja",'Mapa final'!$AA$51="Moderado"),CONCATENATE("R9C",'Mapa final'!$O$51),"")</f>
        <v/>
      </c>
      <c r="Y54" s="64" t="str">
        <f>IF(AND('Mapa final'!$Y$52="Muy Baja",'Mapa final'!$AA$52="Moderado"),CONCATENATE("R9C",'Mapa final'!$O$52),"")</f>
        <v/>
      </c>
      <c r="Z54" s="64" t="str">
        <f>IF(AND('Mapa final'!$Y$53="Muy Baja",'Mapa final'!$AA$53="Moderado"),CONCATENATE("R9C",'Mapa final'!$O$53),"")</f>
        <v/>
      </c>
      <c r="AA54" s="65" t="str">
        <f>IF(AND('Mapa final'!$Y$54="Muy Baja",'Mapa final'!$AA$54="Moderado"),CONCATENATE("R9C",'Mapa final'!$O$54),"")</f>
        <v/>
      </c>
      <c r="AB54" s="48" t="str">
        <f>IF(AND('Mapa final'!$Y$49="Muy Baja",'Mapa final'!$AA$49="Mayor"),CONCATENATE("R9C",'Mapa final'!$O$49),"")</f>
        <v/>
      </c>
      <c r="AC54" s="49" t="str">
        <f>IF(AND('Mapa final'!$Y$50="Muy Baja",'Mapa final'!$AA$50="Mayor"),CONCATENATE("R9C",'Mapa final'!$O$50),"")</f>
        <v/>
      </c>
      <c r="AD54" s="49" t="str">
        <f>IF(AND('Mapa final'!$Y$51="Muy Baja",'Mapa final'!$AA$51="Mayor"),CONCATENATE("R9C",'Mapa final'!$O$51),"")</f>
        <v/>
      </c>
      <c r="AE54" s="49" t="str">
        <f>IF(AND('Mapa final'!$Y$52="Muy Baja",'Mapa final'!$AA$52="Mayor"),CONCATENATE("R9C",'Mapa final'!$O$52),"")</f>
        <v/>
      </c>
      <c r="AF54" s="49" t="str">
        <f>IF(AND('Mapa final'!$Y$53="Muy Baja",'Mapa final'!$AA$53="Mayor"),CONCATENATE("R9C",'Mapa final'!$O$53),"")</f>
        <v/>
      </c>
      <c r="AG54" s="50" t="str">
        <f>IF(AND('Mapa final'!$Y$54="Muy Baja",'Mapa final'!$AA$54="Mayor"),CONCATENATE("R9C",'Mapa final'!$O$54),"")</f>
        <v/>
      </c>
      <c r="AH54" s="51" t="str">
        <f>IF(AND('Mapa final'!$Y$49="Muy Baja",'Mapa final'!$AA$49="Catastrófico"),CONCATENATE("R9C",'Mapa final'!$O$49),"")</f>
        <v/>
      </c>
      <c r="AI54" s="52" t="str">
        <f>IF(AND('Mapa final'!$Y$50="Muy Baja",'Mapa final'!$AA$50="Catastrófico"),CONCATENATE("R9C",'Mapa final'!$O$50),"")</f>
        <v/>
      </c>
      <c r="AJ54" s="52" t="str">
        <f>IF(AND('Mapa final'!$Y$51="Muy Baja",'Mapa final'!$AA$51="Catastrófico"),CONCATENATE("R9C",'Mapa final'!$O$51),"")</f>
        <v/>
      </c>
      <c r="AK54" s="52" t="str">
        <f>IF(AND('Mapa final'!$Y$52="Muy Baja",'Mapa final'!$AA$52="Catastrófico"),CONCATENATE("R9C",'Mapa final'!$O$52),"")</f>
        <v/>
      </c>
      <c r="AL54" s="52" t="str">
        <f>IF(AND('Mapa final'!$Y$53="Muy Baja",'Mapa final'!$AA$53="Catastrófico"),CONCATENATE("R9C",'Mapa final'!$O$53),"")</f>
        <v/>
      </c>
      <c r="AM54" s="53" t="str">
        <f>IF(AND('Mapa final'!$Y$54="Muy Baja",'Mapa final'!$AA$54="Catastrófico"),CONCATENATE("R9C",'Mapa final'!$O$54),"")</f>
        <v/>
      </c>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row>
    <row r="55" spans="1:80" ht="15.75" customHeight="1" thickBot="1" x14ac:dyDescent="0.3">
      <c r="A55" s="79"/>
      <c r="B55" s="346"/>
      <c r="C55" s="346"/>
      <c r="D55" s="347"/>
      <c r="E55" s="446"/>
      <c r="F55" s="447"/>
      <c r="G55" s="447"/>
      <c r="H55" s="447"/>
      <c r="I55" s="461"/>
      <c r="J55" s="75" t="str">
        <f>IF(AND('Mapa final'!$Y$55="Muy Baja",'Mapa final'!$AA$55="Leve"),CONCATENATE("R10C",'Mapa final'!$O$55),"")</f>
        <v/>
      </c>
      <c r="K55" s="76" t="str">
        <f>IF(AND('Mapa final'!$Y$56="Muy Baja",'Mapa final'!$AA$56="Leve"),CONCATENATE("R10C",'Mapa final'!$O$56),"")</f>
        <v/>
      </c>
      <c r="L55" s="76" t="str">
        <f>IF(AND('Mapa final'!$Y$57="Muy Baja",'Mapa final'!$AA$57="Leve"),CONCATENATE("R10C",'Mapa final'!$O$57),"")</f>
        <v/>
      </c>
      <c r="M55" s="76" t="str">
        <f>IF(AND('Mapa final'!$Y$58="Muy Baja",'Mapa final'!$AA$58="Leve"),CONCATENATE("R10C",'Mapa final'!$O$58),"")</f>
        <v/>
      </c>
      <c r="N55" s="76" t="str">
        <f>IF(AND('Mapa final'!$Y$59="Muy Baja",'Mapa final'!$AA$59="Leve"),CONCATENATE("R10C",'Mapa final'!$O$59),"")</f>
        <v/>
      </c>
      <c r="O55" s="77" t="str">
        <f>IF(AND('Mapa final'!$Y$60="Muy Baja",'Mapa final'!$AA$60="Leve"),CONCATENATE("R10C",'Mapa final'!$O$60),"")</f>
        <v/>
      </c>
      <c r="P55" s="75" t="str">
        <f>IF(AND('Mapa final'!$Y$55="Muy Baja",'Mapa final'!$AA$55="Menor"),CONCATENATE("R10C",'Mapa final'!$O$55),"")</f>
        <v/>
      </c>
      <c r="Q55" s="76" t="str">
        <f>IF(AND('Mapa final'!$Y$56="Muy Baja",'Mapa final'!$AA$56="Menor"),CONCATENATE("R10C",'Mapa final'!$O$56),"")</f>
        <v/>
      </c>
      <c r="R55" s="76" t="str">
        <f>IF(AND('Mapa final'!$Y$57="Muy Baja",'Mapa final'!$AA$57="Menor"),CONCATENATE("R10C",'Mapa final'!$O$57),"")</f>
        <v/>
      </c>
      <c r="S55" s="76" t="str">
        <f>IF(AND('Mapa final'!$Y$58="Muy Baja",'Mapa final'!$AA$58="Menor"),CONCATENATE("R10C",'Mapa final'!$O$58),"")</f>
        <v/>
      </c>
      <c r="T55" s="76" t="str">
        <f>IF(AND('Mapa final'!$Y$59="Muy Baja",'Mapa final'!$AA$59="Menor"),CONCATENATE("R10C",'Mapa final'!$O$59),"")</f>
        <v/>
      </c>
      <c r="U55" s="77" t="str">
        <f>IF(AND('Mapa final'!$Y$60="Muy Baja",'Mapa final'!$AA$60="Menor"),CONCATENATE("R10C",'Mapa final'!$O$60),"")</f>
        <v/>
      </c>
      <c r="V55" s="66" t="str">
        <f>IF(AND('Mapa final'!$Y$55="Muy Baja",'Mapa final'!$AA$55="Moderado"),CONCATENATE("R10C",'Mapa final'!$O$55),"")</f>
        <v/>
      </c>
      <c r="W55" s="67" t="str">
        <f>IF(AND('Mapa final'!$Y$56="Muy Baja",'Mapa final'!$AA$56="Moderado"),CONCATENATE("R10C",'Mapa final'!$O$56),"")</f>
        <v/>
      </c>
      <c r="X55" s="67" t="str">
        <f>IF(AND('Mapa final'!$Y$57="Muy Baja",'Mapa final'!$AA$57="Moderado"),CONCATENATE("R10C",'Mapa final'!$O$57),"")</f>
        <v/>
      </c>
      <c r="Y55" s="67" t="str">
        <f>IF(AND('Mapa final'!$Y$58="Muy Baja",'Mapa final'!$AA$58="Moderado"),CONCATENATE("R10C",'Mapa final'!$O$58),"")</f>
        <v/>
      </c>
      <c r="Z55" s="67" t="str">
        <f>IF(AND('Mapa final'!$Y$59="Muy Baja",'Mapa final'!$AA$59="Moderado"),CONCATENATE("R10C",'Mapa final'!$O$59),"")</f>
        <v/>
      </c>
      <c r="AA55" s="68" t="str">
        <f>IF(AND('Mapa final'!$Y$60="Muy Baja",'Mapa final'!$AA$60="Moderado"),CONCATENATE("R10C",'Mapa final'!$O$60),"")</f>
        <v/>
      </c>
      <c r="AB55" s="54" t="str">
        <f>IF(AND('Mapa final'!$Y$55="Muy Baja",'Mapa final'!$AA$55="Mayor"),CONCATENATE("R10C",'Mapa final'!$O$55),"")</f>
        <v/>
      </c>
      <c r="AC55" s="55" t="str">
        <f>IF(AND('Mapa final'!$Y$56="Muy Baja",'Mapa final'!$AA$56="Mayor"),CONCATENATE("R10C",'Mapa final'!$O$56),"")</f>
        <v/>
      </c>
      <c r="AD55" s="55" t="str">
        <f>IF(AND('Mapa final'!$Y$57="Muy Baja",'Mapa final'!$AA$57="Mayor"),CONCATENATE("R10C",'Mapa final'!$O$57),"")</f>
        <v/>
      </c>
      <c r="AE55" s="55" t="str">
        <f>IF(AND('Mapa final'!$Y$58="Muy Baja",'Mapa final'!$AA$58="Mayor"),CONCATENATE("R10C",'Mapa final'!$O$58),"")</f>
        <v/>
      </c>
      <c r="AF55" s="55" t="str">
        <f>IF(AND('Mapa final'!$Y$59="Muy Baja",'Mapa final'!$AA$59="Mayor"),CONCATENATE("R10C",'Mapa final'!$O$59),"")</f>
        <v/>
      </c>
      <c r="AG55" s="56" t="str">
        <f>IF(AND('Mapa final'!$Y$60="Muy Baja",'Mapa final'!$AA$60="Mayor"),CONCATENATE("R10C",'Mapa final'!$O$60),"")</f>
        <v/>
      </c>
      <c r="AH55" s="57" t="str">
        <f>IF(AND('Mapa final'!$Y$55="Muy Baja",'Mapa final'!$AA$55="Catastrófico"),CONCATENATE("R10C",'Mapa final'!$O$55),"")</f>
        <v/>
      </c>
      <c r="AI55" s="58" t="str">
        <f>IF(AND('Mapa final'!$Y$56="Muy Baja",'Mapa final'!$AA$56="Catastrófico"),CONCATENATE("R10C",'Mapa final'!$O$56),"")</f>
        <v/>
      </c>
      <c r="AJ55" s="58" t="str">
        <f>IF(AND('Mapa final'!$Y$57="Muy Baja",'Mapa final'!$AA$57="Catastrófico"),CONCATENATE("R10C",'Mapa final'!$O$57),"")</f>
        <v/>
      </c>
      <c r="AK55" s="58" t="str">
        <f>IF(AND('Mapa final'!$Y$58="Muy Baja",'Mapa final'!$AA$58="Catastrófico"),CONCATENATE("R10C",'Mapa final'!$O$58),"")</f>
        <v/>
      </c>
      <c r="AL55" s="58" t="str">
        <f>IF(AND('Mapa final'!$Y$59="Muy Baja",'Mapa final'!$AA$59="Catastrófico"),CONCATENATE("R10C",'Mapa final'!$O$59),"")</f>
        <v/>
      </c>
      <c r="AM55" s="59" t="str">
        <f>IF(AND('Mapa final'!$Y$60="Muy Baja",'Mapa final'!$AA$60="Catastrófico"),CONCATENATE("R10C",'Mapa final'!$O$60),"")</f>
        <v/>
      </c>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row>
    <row r="56" spans="1:80" x14ac:dyDescent="0.25">
      <c r="A56" s="79"/>
      <c r="B56" s="79"/>
      <c r="C56" s="79"/>
      <c r="D56" s="79"/>
      <c r="E56" s="79"/>
      <c r="F56" s="79"/>
      <c r="G56" s="79"/>
      <c r="H56" s="79"/>
      <c r="I56" s="79"/>
      <c r="J56" s="441" t="s">
        <v>101</v>
      </c>
      <c r="K56" s="442"/>
      <c r="L56" s="442"/>
      <c r="M56" s="442"/>
      <c r="N56" s="442"/>
      <c r="O56" s="459"/>
      <c r="P56" s="441" t="s">
        <v>102</v>
      </c>
      <c r="Q56" s="442"/>
      <c r="R56" s="442"/>
      <c r="S56" s="442"/>
      <c r="T56" s="442"/>
      <c r="U56" s="459"/>
      <c r="V56" s="441" t="s">
        <v>103</v>
      </c>
      <c r="W56" s="442"/>
      <c r="X56" s="442"/>
      <c r="Y56" s="442"/>
      <c r="Z56" s="442"/>
      <c r="AA56" s="459"/>
      <c r="AB56" s="441" t="s">
        <v>104</v>
      </c>
      <c r="AC56" s="480"/>
      <c r="AD56" s="442"/>
      <c r="AE56" s="442"/>
      <c r="AF56" s="442"/>
      <c r="AG56" s="459"/>
      <c r="AH56" s="441" t="s">
        <v>105</v>
      </c>
      <c r="AI56" s="442"/>
      <c r="AJ56" s="442"/>
      <c r="AK56" s="442"/>
      <c r="AL56" s="442"/>
      <c r="AM56" s="45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row>
    <row r="57" spans="1:80" x14ac:dyDescent="0.25">
      <c r="A57" s="79"/>
      <c r="B57" s="79"/>
      <c r="C57" s="79"/>
      <c r="D57" s="79"/>
      <c r="E57" s="79"/>
      <c r="F57" s="79"/>
      <c r="G57" s="79"/>
      <c r="H57" s="79"/>
      <c r="I57" s="79"/>
      <c r="J57" s="445"/>
      <c r="K57" s="444"/>
      <c r="L57" s="444"/>
      <c r="M57" s="444"/>
      <c r="N57" s="444"/>
      <c r="O57" s="460"/>
      <c r="P57" s="445"/>
      <c r="Q57" s="444"/>
      <c r="R57" s="444"/>
      <c r="S57" s="444"/>
      <c r="T57" s="444"/>
      <c r="U57" s="460"/>
      <c r="V57" s="445"/>
      <c r="W57" s="444"/>
      <c r="X57" s="444"/>
      <c r="Y57" s="444"/>
      <c r="Z57" s="444"/>
      <c r="AA57" s="460"/>
      <c r="AB57" s="445"/>
      <c r="AC57" s="444"/>
      <c r="AD57" s="444"/>
      <c r="AE57" s="444"/>
      <c r="AF57" s="444"/>
      <c r="AG57" s="460"/>
      <c r="AH57" s="445"/>
      <c r="AI57" s="444"/>
      <c r="AJ57" s="444"/>
      <c r="AK57" s="444"/>
      <c r="AL57" s="444"/>
      <c r="AM57" s="460"/>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row>
    <row r="58" spans="1:80" x14ac:dyDescent="0.25">
      <c r="A58" s="79"/>
      <c r="B58" s="79"/>
      <c r="C58" s="79"/>
      <c r="D58" s="79"/>
      <c r="E58" s="79"/>
      <c r="F58" s="79"/>
      <c r="G58" s="79"/>
      <c r="H58" s="79"/>
      <c r="I58" s="79"/>
      <c r="J58" s="445"/>
      <c r="K58" s="444"/>
      <c r="L58" s="444"/>
      <c r="M58" s="444"/>
      <c r="N58" s="444"/>
      <c r="O58" s="460"/>
      <c r="P58" s="445"/>
      <c r="Q58" s="444"/>
      <c r="R58" s="444"/>
      <c r="S58" s="444"/>
      <c r="T58" s="444"/>
      <c r="U58" s="460"/>
      <c r="V58" s="445"/>
      <c r="W58" s="444"/>
      <c r="X58" s="444"/>
      <c r="Y58" s="444"/>
      <c r="Z58" s="444"/>
      <c r="AA58" s="460"/>
      <c r="AB58" s="445"/>
      <c r="AC58" s="444"/>
      <c r="AD58" s="444"/>
      <c r="AE58" s="444"/>
      <c r="AF58" s="444"/>
      <c r="AG58" s="460"/>
      <c r="AH58" s="445"/>
      <c r="AI58" s="444"/>
      <c r="AJ58" s="444"/>
      <c r="AK58" s="444"/>
      <c r="AL58" s="444"/>
      <c r="AM58" s="460"/>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row>
    <row r="59" spans="1:80" x14ac:dyDescent="0.25">
      <c r="A59" s="79"/>
      <c r="B59" s="79"/>
      <c r="C59" s="79"/>
      <c r="D59" s="79"/>
      <c r="E59" s="79"/>
      <c r="F59" s="79"/>
      <c r="G59" s="79"/>
      <c r="H59" s="79"/>
      <c r="I59" s="79"/>
      <c r="J59" s="445"/>
      <c r="K59" s="444"/>
      <c r="L59" s="444"/>
      <c r="M59" s="444"/>
      <c r="N59" s="444"/>
      <c r="O59" s="460"/>
      <c r="P59" s="445"/>
      <c r="Q59" s="444"/>
      <c r="R59" s="444"/>
      <c r="S59" s="444"/>
      <c r="T59" s="444"/>
      <c r="U59" s="460"/>
      <c r="V59" s="445"/>
      <c r="W59" s="444"/>
      <c r="X59" s="444"/>
      <c r="Y59" s="444"/>
      <c r="Z59" s="444"/>
      <c r="AA59" s="460"/>
      <c r="AB59" s="445"/>
      <c r="AC59" s="444"/>
      <c r="AD59" s="444"/>
      <c r="AE59" s="444"/>
      <c r="AF59" s="444"/>
      <c r="AG59" s="460"/>
      <c r="AH59" s="445"/>
      <c r="AI59" s="444"/>
      <c r="AJ59" s="444"/>
      <c r="AK59" s="444"/>
      <c r="AL59" s="444"/>
      <c r="AM59" s="460"/>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row>
    <row r="60" spans="1:80" x14ac:dyDescent="0.25">
      <c r="A60" s="79"/>
      <c r="B60" s="79"/>
      <c r="C60" s="79"/>
      <c r="D60" s="79"/>
      <c r="E60" s="79"/>
      <c r="F60" s="79"/>
      <c r="G60" s="79"/>
      <c r="H60" s="79"/>
      <c r="I60" s="79"/>
      <c r="J60" s="445"/>
      <c r="K60" s="444"/>
      <c r="L60" s="444"/>
      <c r="M60" s="444"/>
      <c r="N60" s="444"/>
      <c r="O60" s="460"/>
      <c r="P60" s="445"/>
      <c r="Q60" s="444"/>
      <c r="R60" s="444"/>
      <c r="S60" s="444"/>
      <c r="T60" s="444"/>
      <c r="U60" s="460"/>
      <c r="V60" s="445"/>
      <c r="W60" s="444"/>
      <c r="X60" s="444"/>
      <c r="Y60" s="444"/>
      <c r="Z60" s="444"/>
      <c r="AA60" s="460"/>
      <c r="AB60" s="445"/>
      <c r="AC60" s="444"/>
      <c r="AD60" s="444"/>
      <c r="AE60" s="444"/>
      <c r="AF60" s="444"/>
      <c r="AG60" s="460"/>
      <c r="AH60" s="445"/>
      <c r="AI60" s="444"/>
      <c r="AJ60" s="444"/>
      <c r="AK60" s="444"/>
      <c r="AL60" s="444"/>
      <c r="AM60" s="460"/>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row>
    <row r="61" spans="1:80" ht="15.75" thickBot="1" x14ac:dyDescent="0.3">
      <c r="A61" s="79"/>
      <c r="B61" s="79"/>
      <c r="C61" s="79"/>
      <c r="D61" s="79"/>
      <c r="E61" s="79"/>
      <c r="F61" s="79"/>
      <c r="G61" s="79"/>
      <c r="H61" s="79"/>
      <c r="I61" s="79"/>
      <c r="J61" s="446"/>
      <c r="K61" s="447"/>
      <c r="L61" s="447"/>
      <c r="M61" s="447"/>
      <c r="N61" s="447"/>
      <c r="O61" s="461"/>
      <c r="P61" s="446"/>
      <c r="Q61" s="447"/>
      <c r="R61" s="447"/>
      <c r="S61" s="447"/>
      <c r="T61" s="447"/>
      <c r="U61" s="461"/>
      <c r="V61" s="446"/>
      <c r="W61" s="447"/>
      <c r="X61" s="447"/>
      <c r="Y61" s="447"/>
      <c r="Z61" s="447"/>
      <c r="AA61" s="461"/>
      <c r="AB61" s="446"/>
      <c r="AC61" s="447"/>
      <c r="AD61" s="447"/>
      <c r="AE61" s="447"/>
      <c r="AF61" s="447"/>
      <c r="AG61" s="461"/>
      <c r="AH61" s="446"/>
      <c r="AI61" s="447"/>
      <c r="AJ61" s="447"/>
      <c r="AK61" s="447"/>
      <c r="AL61" s="447"/>
      <c r="AM61" s="461"/>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row>
    <row r="62" spans="1:80" x14ac:dyDescent="0.2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row>
    <row r="63" spans="1:80" ht="15" customHeight="1" x14ac:dyDescent="0.25">
      <c r="A63" s="79"/>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79"/>
      <c r="AV63" s="79"/>
      <c r="AW63" s="79"/>
      <c r="AX63" s="79"/>
      <c r="AY63" s="79"/>
      <c r="AZ63" s="79"/>
      <c r="BA63" s="79"/>
      <c r="BB63" s="79"/>
      <c r="BC63" s="79"/>
      <c r="BD63" s="79"/>
      <c r="BE63" s="79"/>
      <c r="BF63" s="79"/>
      <c r="BG63" s="79"/>
      <c r="BH63" s="79"/>
    </row>
    <row r="64" spans="1:80" ht="15" customHeight="1" x14ac:dyDescent="0.25">
      <c r="A64" s="79"/>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79"/>
      <c r="AV64" s="79"/>
      <c r="AW64" s="79"/>
      <c r="AX64" s="79"/>
      <c r="AY64" s="79"/>
      <c r="AZ64" s="79"/>
      <c r="BA64" s="79"/>
      <c r="BB64" s="79"/>
      <c r="BC64" s="79"/>
      <c r="BD64" s="79"/>
      <c r="BE64" s="79"/>
      <c r="BF64" s="79"/>
      <c r="BG64" s="79"/>
      <c r="BH64" s="79"/>
    </row>
    <row r="65" spans="1:60" x14ac:dyDescent="0.2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row>
    <row r="66" spans="1:60" x14ac:dyDescent="0.2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row>
    <row r="67" spans="1:60" x14ac:dyDescent="0.2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row>
    <row r="68" spans="1:60" x14ac:dyDescent="0.2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row>
    <row r="69" spans="1:60" x14ac:dyDescent="0.2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row>
    <row r="70" spans="1:60" x14ac:dyDescent="0.2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row>
    <row r="71" spans="1:60" x14ac:dyDescent="0.2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row>
    <row r="72" spans="1:60" x14ac:dyDescent="0.2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row>
    <row r="73" spans="1:60" x14ac:dyDescent="0.2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row>
    <row r="74" spans="1:60" x14ac:dyDescent="0.2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row>
    <row r="75" spans="1:60" x14ac:dyDescent="0.2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row>
    <row r="76" spans="1:60" x14ac:dyDescent="0.2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row>
    <row r="77" spans="1:60" x14ac:dyDescent="0.2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row>
    <row r="78" spans="1:60" x14ac:dyDescent="0.2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row>
    <row r="79" spans="1:60" x14ac:dyDescent="0.2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row>
    <row r="80" spans="1:60" x14ac:dyDescent="0.2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row>
    <row r="81" spans="1:60" x14ac:dyDescent="0.2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row>
    <row r="82" spans="1:60" x14ac:dyDescent="0.2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row>
    <row r="83" spans="1:60" x14ac:dyDescent="0.2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row>
    <row r="84" spans="1:60" x14ac:dyDescent="0.2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row>
    <row r="85" spans="1:60" x14ac:dyDescent="0.2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row>
    <row r="86" spans="1:60" x14ac:dyDescent="0.2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row>
    <row r="87" spans="1:60" x14ac:dyDescent="0.2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row>
    <row r="88" spans="1:60" x14ac:dyDescent="0.2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row>
    <row r="89" spans="1:60" x14ac:dyDescent="0.2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row>
    <row r="90" spans="1:60" x14ac:dyDescent="0.2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row>
    <row r="91" spans="1:60" x14ac:dyDescent="0.2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row>
    <row r="92" spans="1:60" x14ac:dyDescent="0.2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row>
    <row r="93" spans="1:60" x14ac:dyDescent="0.2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row>
    <row r="94" spans="1:60" x14ac:dyDescent="0.2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row>
    <row r="95" spans="1:60" x14ac:dyDescent="0.2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row>
    <row r="96" spans="1:60" x14ac:dyDescent="0.2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row>
    <row r="97" spans="1:60" x14ac:dyDescent="0.2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row>
    <row r="98" spans="1:60" x14ac:dyDescent="0.2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row>
    <row r="99" spans="1:60" x14ac:dyDescent="0.2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row>
    <row r="100" spans="1:60" x14ac:dyDescent="0.2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row>
    <row r="101" spans="1:60" x14ac:dyDescent="0.25">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row>
    <row r="102" spans="1:60" x14ac:dyDescent="0.25">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row>
    <row r="103" spans="1:60" x14ac:dyDescent="0.25">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row>
    <row r="104" spans="1:60" x14ac:dyDescent="0.25">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row>
    <row r="105" spans="1:60" x14ac:dyDescent="0.25">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row>
    <row r="106" spans="1:60" x14ac:dyDescent="0.25">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row>
    <row r="107" spans="1:60" x14ac:dyDescent="0.25">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row>
    <row r="108" spans="1:60" x14ac:dyDescent="0.25">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row>
    <row r="109" spans="1:60" x14ac:dyDescent="0.25">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row>
    <row r="110" spans="1:60" x14ac:dyDescent="0.25">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row>
    <row r="111" spans="1:60" x14ac:dyDescent="0.25">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row>
    <row r="112" spans="1:60" x14ac:dyDescent="0.25">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row>
    <row r="113" spans="1:60" x14ac:dyDescent="0.25">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row>
    <row r="114" spans="1:60" x14ac:dyDescent="0.25">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row>
    <row r="115" spans="1:60" x14ac:dyDescent="0.25">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row>
    <row r="116" spans="1:60" x14ac:dyDescent="0.25">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row>
    <row r="117" spans="1:60" x14ac:dyDescent="0.25">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row>
    <row r="118" spans="1:60" x14ac:dyDescent="0.25">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row>
    <row r="119" spans="1:60" x14ac:dyDescent="0.25">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row>
    <row r="120" spans="1:60" x14ac:dyDescent="0.25">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row>
    <row r="121" spans="1:60" x14ac:dyDescent="0.25">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row>
    <row r="122" spans="1:60" x14ac:dyDescent="0.25">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row>
    <row r="123" spans="1:60" x14ac:dyDescent="0.25">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row>
    <row r="124" spans="1:60" x14ac:dyDescent="0.25">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row>
    <row r="125" spans="1:60" x14ac:dyDescent="0.25">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row>
    <row r="126" spans="1:60" x14ac:dyDescent="0.25">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row>
    <row r="127" spans="1:60" x14ac:dyDescent="0.25">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row>
    <row r="128" spans="1:60" x14ac:dyDescent="0.25">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row>
    <row r="129" spans="1:60" x14ac:dyDescent="0.25">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row>
    <row r="130" spans="1:60" x14ac:dyDescent="0.25">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row>
    <row r="131" spans="1:60" x14ac:dyDescent="0.25">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row>
    <row r="132" spans="1:60" x14ac:dyDescent="0.25">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row>
    <row r="133" spans="1:60" x14ac:dyDescent="0.25">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row>
    <row r="134" spans="1:60" x14ac:dyDescent="0.25">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row>
    <row r="135" spans="1:60" x14ac:dyDescent="0.25">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row>
    <row r="136" spans="1:60" x14ac:dyDescent="0.25">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row>
    <row r="137" spans="1:60" x14ac:dyDescent="0.25">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row>
    <row r="138" spans="1:60" x14ac:dyDescent="0.25">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row>
    <row r="139" spans="1:60" x14ac:dyDescent="0.25">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row>
    <row r="140" spans="1:60" x14ac:dyDescent="0.25">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row>
    <row r="141" spans="1:60" x14ac:dyDescent="0.25">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row>
    <row r="142" spans="1:60" x14ac:dyDescent="0.25">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row>
    <row r="143" spans="1:60" x14ac:dyDescent="0.25">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row>
    <row r="144" spans="1:60" x14ac:dyDescent="0.25">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row>
    <row r="145" spans="1:60" x14ac:dyDescent="0.25">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row>
    <row r="146" spans="1:60" x14ac:dyDescent="0.25">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row>
    <row r="147" spans="1:60" x14ac:dyDescent="0.25">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row>
    <row r="148" spans="1:60" x14ac:dyDescent="0.25">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row>
    <row r="149" spans="1:60" x14ac:dyDescent="0.25">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row>
    <row r="150" spans="1:60" x14ac:dyDescent="0.25">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row>
    <row r="151" spans="1:60" x14ac:dyDescent="0.25">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row>
    <row r="152" spans="1:60" x14ac:dyDescent="0.25">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row>
    <row r="153" spans="1:60" x14ac:dyDescent="0.25">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row>
    <row r="154" spans="1:60" x14ac:dyDescent="0.25">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row>
    <row r="155" spans="1:60" x14ac:dyDescent="0.25">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row>
    <row r="156" spans="1:60" x14ac:dyDescent="0.25">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row>
    <row r="157" spans="1:60" x14ac:dyDescent="0.25">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row>
    <row r="158" spans="1:60" x14ac:dyDescent="0.25">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row>
    <row r="159" spans="1:60" x14ac:dyDescent="0.25">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row>
    <row r="160" spans="1:60" x14ac:dyDescent="0.25">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row>
    <row r="161" spans="1:60" x14ac:dyDescent="0.25">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row>
    <row r="162" spans="1:60" x14ac:dyDescent="0.25">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row>
    <row r="163" spans="1:60" x14ac:dyDescent="0.25">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row>
    <row r="164" spans="1:60" x14ac:dyDescent="0.25">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row>
    <row r="165" spans="1:60" x14ac:dyDescent="0.25">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row>
    <row r="166" spans="1:60" x14ac:dyDescent="0.25">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row>
    <row r="167" spans="1:60" x14ac:dyDescent="0.25">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row>
    <row r="168" spans="1:60" x14ac:dyDescent="0.25">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row>
    <row r="169" spans="1:60" x14ac:dyDescent="0.25">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row>
    <row r="170" spans="1:60" x14ac:dyDescent="0.25">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row>
    <row r="171" spans="1:60" x14ac:dyDescent="0.25">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row>
    <row r="172" spans="1:60" x14ac:dyDescent="0.25">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row>
    <row r="173" spans="1:60" x14ac:dyDescent="0.25">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row>
    <row r="174" spans="1:60" x14ac:dyDescent="0.25">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row>
    <row r="175" spans="1:60" x14ac:dyDescent="0.25">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row>
    <row r="176" spans="1:60" x14ac:dyDescent="0.25">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row>
    <row r="177" spans="1:60" x14ac:dyDescent="0.25">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row>
    <row r="178" spans="1:60" x14ac:dyDescent="0.25">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row>
    <row r="179" spans="1:60" x14ac:dyDescent="0.25">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row>
    <row r="180" spans="1:60" x14ac:dyDescent="0.25">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row>
    <row r="181" spans="1:60" x14ac:dyDescent="0.25">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row>
    <row r="182" spans="1:60" x14ac:dyDescent="0.25">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row>
    <row r="183" spans="1:60" x14ac:dyDescent="0.25">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row>
    <row r="184" spans="1:60" x14ac:dyDescent="0.25">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row>
    <row r="185" spans="1:60" x14ac:dyDescent="0.25">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79"/>
    </row>
    <row r="186" spans="1:60" x14ac:dyDescent="0.25">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row>
    <row r="187" spans="1:60" x14ac:dyDescent="0.25">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row>
    <row r="188" spans="1:60" x14ac:dyDescent="0.25">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row>
    <row r="189" spans="1:60" x14ac:dyDescent="0.25">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row>
    <row r="190" spans="1:60" x14ac:dyDescent="0.25">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row>
    <row r="191" spans="1:60" x14ac:dyDescent="0.25">
      <c r="A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row>
    <row r="192" spans="1:60" x14ac:dyDescent="0.25">
      <c r="A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row>
    <row r="193" spans="1:60" x14ac:dyDescent="0.25">
      <c r="A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row>
    <row r="194" spans="1:60" x14ac:dyDescent="0.25">
      <c r="A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row>
    <row r="195" spans="1:60" x14ac:dyDescent="0.25">
      <c r="A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row>
    <row r="196" spans="1:60" x14ac:dyDescent="0.25">
      <c r="A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row>
    <row r="197" spans="1:60" x14ac:dyDescent="0.25">
      <c r="A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row>
    <row r="198" spans="1:60" x14ac:dyDescent="0.25">
      <c r="A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row>
    <row r="199" spans="1:60" x14ac:dyDescent="0.25">
      <c r="A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row>
    <row r="200" spans="1:60" x14ac:dyDescent="0.25">
      <c r="A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row>
    <row r="201" spans="1:60" x14ac:dyDescent="0.25">
      <c r="A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row>
    <row r="202" spans="1:60" x14ac:dyDescent="0.25">
      <c r="A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row>
    <row r="203" spans="1:60" x14ac:dyDescent="0.25">
      <c r="A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row>
    <row r="204" spans="1:60" x14ac:dyDescent="0.25">
      <c r="A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row>
    <row r="205" spans="1:60" x14ac:dyDescent="0.25">
      <c r="A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row>
    <row r="206" spans="1:60" x14ac:dyDescent="0.25">
      <c r="A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row>
    <row r="207" spans="1:60" x14ac:dyDescent="0.25">
      <c r="A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row>
    <row r="208" spans="1:60" x14ac:dyDescent="0.25">
      <c r="A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row>
    <row r="209" spans="1:60" x14ac:dyDescent="0.25">
      <c r="A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row>
    <row r="210" spans="1:60" x14ac:dyDescent="0.25">
      <c r="A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c r="BE210" s="79"/>
      <c r="BF210" s="79"/>
      <c r="BG210" s="79"/>
      <c r="BH210" s="79"/>
    </row>
    <row r="211" spans="1:60" x14ac:dyDescent="0.25">
      <c r="A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row>
    <row r="212" spans="1:60" x14ac:dyDescent="0.25">
      <c r="A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row>
    <row r="213" spans="1:60" x14ac:dyDescent="0.25">
      <c r="A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c r="BE213" s="79"/>
      <c r="BF213" s="79"/>
      <c r="BG213" s="79"/>
      <c r="BH213" s="79"/>
    </row>
    <row r="214" spans="1:60" x14ac:dyDescent="0.25">
      <c r="A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BD214" s="79"/>
      <c r="BE214" s="79"/>
      <c r="BF214" s="79"/>
      <c r="BG214" s="79"/>
      <c r="BH214" s="79"/>
    </row>
    <row r="215" spans="1:60" x14ac:dyDescent="0.25">
      <c r="A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row>
    <row r="216" spans="1:60" x14ac:dyDescent="0.25">
      <c r="A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c r="AX216" s="79"/>
      <c r="AY216" s="79"/>
      <c r="AZ216" s="79"/>
      <c r="BA216" s="79"/>
      <c r="BB216" s="79"/>
      <c r="BC216" s="79"/>
      <c r="BD216" s="79"/>
      <c r="BE216" s="79"/>
      <c r="BF216" s="79"/>
      <c r="BG216" s="79"/>
      <c r="BH216" s="79"/>
    </row>
    <row r="217" spans="1:60" x14ac:dyDescent="0.25">
      <c r="A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row>
    <row r="218" spans="1:60" x14ac:dyDescent="0.25">
      <c r="A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c r="AX218" s="79"/>
      <c r="AY218" s="79"/>
      <c r="AZ218" s="79"/>
      <c r="BA218" s="79"/>
      <c r="BB218" s="79"/>
      <c r="BC218" s="79"/>
      <c r="BD218" s="79"/>
      <c r="BE218" s="79"/>
      <c r="BF218" s="79"/>
      <c r="BG218" s="79"/>
      <c r="BH218" s="79"/>
    </row>
    <row r="219" spans="1:60" x14ac:dyDescent="0.25">
      <c r="A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row>
    <row r="220" spans="1:60" x14ac:dyDescent="0.25">
      <c r="A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79"/>
      <c r="BC220" s="79"/>
      <c r="BD220" s="79"/>
      <c r="BE220" s="79"/>
      <c r="BF220" s="79"/>
      <c r="BG220" s="79"/>
      <c r="BH220" s="79"/>
    </row>
    <row r="221" spans="1:60" x14ac:dyDescent="0.25">
      <c r="A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c r="BB221" s="79"/>
      <c r="BC221" s="79"/>
      <c r="BD221" s="79"/>
      <c r="BE221" s="79"/>
      <c r="BF221" s="79"/>
      <c r="BG221" s="79"/>
      <c r="BH221" s="79"/>
    </row>
    <row r="222" spans="1:60" x14ac:dyDescent="0.25">
      <c r="A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BD222" s="79"/>
      <c r="BE222" s="79"/>
      <c r="BF222" s="79"/>
      <c r="BG222" s="79"/>
      <c r="BH222" s="79"/>
    </row>
    <row r="223" spans="1:60" x14ac:dyDescent="0.25">
      <c r="A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c r="BB223" s="79"/>
      <c r="BC223" s="79"/>
      <c r="BD223" s="79"/>
      <c r="BE223" s="79"/>
      <c r="BF223" s="79"/>
      <c r="BG223" s="79"/>
      <c r="BH223" s="79"/>
    </row>
    <row r="224" spans="1:60" x14ac:dyDescent="0.25">
      <c r="A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BD224" s="79"/>
      <c r="BE224" s="79"/>
      <c r="BF224" s="79"/>
      <c r="BG224" s="79"/>
      <c r="BH224" s="79"/>
    </row>
    <row r="225" spans="1:60" x14ac:dyDescent="0.25">
      <c r="A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c r="BB225" s="79"/>
      <c r="BC225" s="79"/>
      <c r="BD225" s="79"/>
      <c r="BE225" s="79"/>
      <c r="BF225" s="79"/>
      <c r="BG225" s="79"/>
      <c r="BH225" s="79"/>
    </row>
    <row r="226" spans="1:60" x14ac:dyDescent="0.25">
      <c r="A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79"/>
      <c r="BD226" s="79"/>
      <c r="BE226" s="79"/>
      <c r="BF226" s="79"/>
      <c r="BG226" s="79"/>
      <c r="BH226" s="79"/>
    </row>
    <row r="227" spans="1:60" x14ac:dyDescent="0.25">
      <c r="A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79"/>
      <c r="BH227" s="79"/>
    </row>
    <row r="228" spans="1:60" x14ac:dyDescent="0.25">
      <c r="A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row>
    <row r="229" spans="1:60" x14ac:dyDescent="0.25">
      <c r="A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row>
    <row r="230" spans="1:60" x14ac:dyDescent="0.25">
      <c r="A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row>
    <row r="231" spans="1:60" x14ac:dyDescent="0.25">
      <c r="A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row>
    <row r="232" spans="1:60" x14ac:dyDescent="0.25">
      <c r="A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row>
    <row r="233" spans="1:60" x14ac:dyDescent="0.25">
      <c r="A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row>
    <row r="234" spans="1:60" x14ac:dyDescent="0.25">
      <c r="A234" s="79"/>
      <c r="J234" s="79"/>
      <c r="K234" s="79"/>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c r="BB234" s="79"/>
      <c r="BC234" s="79"/>
      <c r="BD234" s="79"/>
      <c r="BE234" s="79"/>
      <c r="BF234" s="79"/>
      <c r="BG234" s="79"/>
      <c r="BH234" s="79"/>
    </row>
    <row r="235" spans="1:60" x14ac:dyDescent="0.25">
      <c r="A235" s="79"/>
      <c r="J235" s="79"/>
      <c r="K235" s="79"/>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79"/>
      <c r="BH235" s="79"/>
    </row>
    <row r="236" spans="1:60" x14ac:dyDescent="0.25">
      <c r="A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row>
    <row r="237" spans="1:60" x14ac:dyDescent="0.25">
      <c r="A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row>
    <row r="238" spans="1:60" x14ac:dyDescent="0.25">
      <c r="A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row>
    <row r="239" spans="1:60" x14ac:dyDescent="0.25">
      <c r="A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row>
    <row r="240" spans="1:60" x14ac:dyDescent="0.25">
      <c r="A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row>
    <row r="241" spans="1:60" x14ac:dyDescent="0.25">
      <c r="A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row>
    <row r="242" spans="1:60" x14ac:dyDescent="0.25">
      <c r="A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c r="BB242" s="79"/>
      <c r="BC242" s="79"/>
      <c r="BD242" s="79"/>
      <c r="BE242" s="79"/>
      <c r="BF242" s="79"/>
      <c r="BG242" s="79"/>
      <c r="BH242" s="79"/>
    </row>
    <row r="243" spans="1:60" x14ac:dyDescent="0.25">
      <c r="A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79"/>
      <c r="BG243" s="79"/>
      <c r="BH243" s="79"/>
    </row>
    <row r="244" spans="1:60" x14ac:dyDescent="0.25">
      <c r="A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row>
    <row r="245" spans="1:60" x14ac:dyDescent="0.25">
      <c r="A245" s="79"/>
    </row>
    <row r="246" spans="1:60" x14ac:dyDescent="0.25">
      <c r="A246" s="79"/>
    </row>
    <row r="247" spans="1:60" x14ac:dyDescent="0.25">
      <c r="A247" s="79"/>
    </row>
    <row r="248" spans="1:60" x14ac:dyDescent="0.25">
      <c r="A248" s="79"/>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79"/>
      <c r="B1" s="481" t="s">
        <v>107</v>
      </c>
      <c r="C1" s="481"/>
      <c r="D1" s="481"/>
      <c r="E1" s="79"/>
      <c r="F1" s="79"/>
      <c r="G1" s="79"/>
      <c r="H1" s="79"/>
      <c r="I1" s="79"/>
      <c r="J1" s="79"/>
      <c r="K1" s="79"/>
      <c r="L1" s="79"/>
      <c r="M1" s="79"/>
      <c r="N1" s="79"/>
      <c r="O1" s="79"/>
      <c r="P1" s="79"/>
      <c r="Q1" s="79"/>
      <c r="R1" s="79"/>
      <c r="S1" s="79"/>
      <c r="T1" s="79"/>
      <c r="U1" s="79"/>
      <c r="V1" s="79"/>
      <c r="W1" s="79"/>
      <c r="X1" s="79"/>
      <c r="Y1" s="79"/>
      <c r="Z1" s="79"/>
      <c r="AA1" s="79"/>
      <c r="AB1" s="79"/>
      <c r="AC1" s="79"/>
      <c r="AD1" s="79"/>
      <c r="AE1" s="79"/>
    </row>
    <row r="2" spans="1:37" x14ac:dyDescent="0.2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spans="1:37" ht="25.5" x14ac:dyDescent="0.25">
      <c r="A3" s="79"/>
      <c r="B3" s="8"/>
      <c r="C3" s="9" t="s">
        <v>108</v>
      </c>
      <c r="D3" s="9" t="s">
        <v>91</v>
      </c>
      <c r="E3" s="79"/>
      <c r="F3" s="79"/>
      <c r="G3" s="79"/>
      <c r="H3" s="79"/>
      <c r="I3" s="79"/>
      <c r="J3" s="79"/>
      <c r="K3" s="79"/>
      <c r="L3" s="79"/>
      <c r="M3" s="79"/>
      <c r="N3" s="79"/>
      <c r="O3" s="79"/>
      <c r="P3" s="79"/>
      <c r="Q3" s="79"/>
      <c r="R3" s="79"/>
      <c r="S3" s="79"/>
      <c r="T3" s="79"/>
      <c r="U3" s="79"/>
      <c r="V3" s="79"/>
      <c r="W3" s="79"/>
      <c r="X3" s="79"/>
      <c r="Y3" s="79"/>
      <c r="Z3" s="79"/>
      <c r="AA3" s="79"/>
      <c r="AB3" s="79"/>
      <c r="AC3" s="79"/>
      <c r="AD3" s="79"/>
      <c r="AE3" s="79"/>
    </row>
    <row r="4" spans="1:37" ht="51" x14ac:dyDescent="0.25">
      <c r="A4" s="79"/>
      <c r="B4" s="10" t="s">
        <v>109</v>
      </c>
      <c r="C4" s="11" t="s">
        <v>110</v>
      </c>
      <c r="D4" s="12">
        <v>0.2</v>
      </c>
      <c r="E4" s="79"/>
      <c r="F4" s="79"/>
      <c r="G4" s="79"/>
      <c r="H4" s="79"/>
      <c r="I4" s="79"/>
      <c r="J4" s="79"/>
      <c r="K4" s="79"/>
      <c r="L4" s="79"/>
      <c r="M4" s="79"/>
      <c r="N4" s="79"/>
      <c r="O4" s="79"/>
      <c r="P4" s="79"/>
      <c r="Q4" s="79"/>
      <c r="R4" s="79"/>
      <c r="S4" s="79"/>
      <c r="T4" s="79"/>
      <c r="U4" s="79"/>
      <c r="V4" s="79"/>
      <c r="W4" s="79"/>
      <c r="X4" s="79"/>
      <c r="Y4" s="79"/>
      <c r="Z4" s="79"/>
      <c r="AA4" s="79"/>
      <c r="AB4" s="79"/>
      <c r="AC4" s="79"/>
      <c r="AD4" s="79"/>
      <c r="AE4" s="79"/>
    </row>
    <row r="5" spans="1:37" ht="51" x14ac:dyDescent="0.25">
      <c r="A5" s="79"/>
      <c r="B5" s="13" t="s">
        <v>111</v>
      </c>
      <c r="C5" s="14" t="s">
        <v>112</v>
      </c>
      <c r="D5" s="15">
        <v>0.4</v>
      </c>
      <c r="E5" s="79"/>
      <c r="F5" s="79"/>
      <c r="G5" s="79"/>
      <c r="H5" s="79"/>
      <c r="I5" s="79"/>
      <c r="J5" s="79"/>
      <c r="K5" s="79"/>
      <c r="L5" s="79"/>
      <c r="M5" s="79"/>
      <c r="N5" s="79"/>
      <c r="O5" s="79"/>
      <c r="P5" s="79"/>
      <c r="Q5" s="79"/>
      <c r="R5" s="79"/>
      <c r="S5" s="79"/>
      <c r="T5" s="79"/>
      <c r="U5" s="79"/>
      <c r="V5" s="79"/>
      <c r="W5" s="79"/>
      <c r="X5" s="79"/>
      <c r="Y5" s="79"/>
      <c r="Z5" s="79"/>
      <c r="AA5" s="79"/>
      <c r="AB5" s="79"/>
      <c r="AC5" s="79"/>
      <c r="AD5" s="79"/>
      <c r="AE5" s="79"/>
    </row>
    <row r="6" spans="1:37" ht="51" x14ac:dyDescent="0.25">
      <c r="A6" s="79"/>
      <c r="B6" s="16" t="s">
        <v>113</v>
      </c>
      <c r="C6" s="14" t="s">
        <v>114</v>
      </c>
      <c r="D6" s="15">
        <v>0.6</v>
      </c>
      <c r="E6" s="79"/>
      <c r="F6" s="79"/>
      <c r="G6" s="79"/>
      <c r="H6" s="79"/>
      <c r="I6" s="79"/>
      <c r="J6" s="79"/>
      <c r="K6" s="79"/>
      <c r="L6" s="79"/>
      <c r="M6" s="79"/>
      <c r="N6" s="79"/>
      <c r="O6" s="79"/>
      <c r="P6" s="79"/>
      <c r="Q6" s="79"/>
      <c r="R6" s="79"/>
      <c r="S6" s="79"/>
      <c r="T6" s="79"/>
      <c r="U6" s="79"/>
      <c r="V6" s="79"/>
      <c r="W6" s="79"/>
      <c r="X6" s="79"/>
      <c r="Y6" s="79"/>
      <c r="Z6" s="79"/>
      <c r="AA6" s="79"/>
      <c r="AB6" s="79"/>
      <c r="AC6" s="79"/>
      <c r="AD6" s="79"/>
      <c r="AE6" s="79"/>
    </row>
    <row r="7" spans="1:37" ht="76.5" x14ac:dyDescent="0.25">
      <c r="A7" s="79"/>
      <c r="B7" s="17" t="s">
        <v>115</v>
      </c>
      <c r="C7" s="14" t="s">
        <v>116</v>
      </c>
      <c r="D7" s="15">
        <v>0.8</v>
      </c>
      <c r="E7" s="79"/>
      <c r="F7" s="79"/>
      <c r="G7" s="79"/>
      <c r="H7" s="79"/>
      <c r="I7" s="79"/>
      <c r="J7" s="79"/>
      <c r="K7" s="79"/>
      <c r="L7" s="79"/>
      <c r="M7" s="79"/>
      <c r="N7" s="79"/>
      <c r="O7" s="79"/>
      <c r="P7" s="79"/>
      <c r="Q7" s="79"/>
      <c r="R7" s="79"/>
      <c r="S7" s="79"/>
      <c r="T7" s="79"/>
      <c r="U7" s="79"/>
      <c r="V7" s="79"/>
      <c r="W7" s="79"/>
      <c r="X7" s="79"/>
      <c r="Y7" s="79"/>
      <c r="Z7" s="79"/>
      <c r="AA7" s="79"/>
      <c r="AB7" s="79"/>
      <c r="AC7" s="79"/>
      <c r="AD7" s="79"/>
      <c r="AE7" s="79"/>
    </row>
    <row r="8" spans="1:37" ht="51" x14ac:dyDescent="0.25">
      <c r="A8" s="79"/>
      <c r="B8" s="18" t="s">
        <v>117</v>
      </c>
      <c r="C8" s="14" t="s">
        <v>118</v>
      </c>
      <c r="D8" s="15">
        <v>1</v>
      </c>
      <c r="E8" s="79"/>
      <c r="F8" s="79"/>
      <c r="G8" s="79"/>
      <c r="H8" s="79"/>
      <c r="I8" s="79"/>
      <c r="J8" s="79"/>
      <c r="K8" s="79"/>
      <c r="L8" s="79"/>
      <c r="M8" s="79"/>
      <c r="N8" s="79"/>
      <c r="O8" s="79"/>
      <c r="P8" s="79"/>
      <c r="Q8" s="79"/>
      <c r="R8" s="79"/>
      <c r="S8" s="79"/>
      <c r="T8" s="79"/>
      <c r="U8" s="79"/>
      <c r="V8" s="79"/>
      <c r="W8" s="79"/>
      <c r="X8" s="79"/>
      <c r="Y8" s="79"/>
      <c r="Z8" s="79"/>
      <c r="AA8" s="79"/>
      <c r="AB8" s="79"/>
      <c r="AC8" s="79"/>
      <c r="AD8" s="79"/>
      <c r="AE8" s="79"/>
    </row>
    <row r="9" spans="1:37" x14ac:dyDescent="0.25">
      <c r="A9" s="79"/>
      <c r="B9" s="103"/>
      <c r="C9" s="103"/>
      <c r="D9" s="103"/>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row>
    <row r="10" spans="1:37" ht="16.5" x14ac:dyDescent="0.25">
      <c r="A10" s="79"/>
      <c r="B10" s="104"/>
      <c r="C10" s="103"/>
      <c r="D10" s="103"/>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row>
    <row r="11" spans="1:37" x14ac:dyDescent="0.25">
      <c r="A11" s="79"/>
      <c r="B11" s="103"/>
      <c r="C11" s="103"/>
      <c r="D11" s="103"/>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row>
    <row r="12" spans="1:37" x14ac:dyDescent="0.25">
      <c r="A12" s="79"/>
      <c r="B12" s="103"/>
      <c r="C12" s="103"/>
      <c r="D12" s="103"/>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row>
    <row r="13" spans="1:37" x14ac:dyDescent="0.25">
      <c r="A13" s="79"/>
      <c r="B13" s="103"/>
      <c r="C13" s="103"/>
      <c r="D13" s="103"/>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row>
    <row r="14" spans="1:37" x14ac:dyDescent="0.25">
      <c r="A14" s="79"/>
      <c r="B14" s="103"/>
      <c r="C14" s="103"/>
      <c r="D14" s="103"/>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row>
    <row r="15" spans="1:37" x14ac:dyDescent="0.25">
      <c r="A15" s="79"/>
      <c r="B15" s="103"/>
      <c r="C15" s="103"/>
      <c r="D15" s="103"/>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row>
    <row r="16" spans="1:37" x14ac:dyDescent="0.25">
      <c r="A16" s="79"/>
      <c r="B16" s="103"/>
      <c r="C16" s="103"/>
      <c r="D16" s="103"/>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row>
    <row r="17" spans="1:37" x14ac:dyDescent="0.25">
      <c r="A17" s="79"/>
      <c r="B17" s="103"/>
      <c r="C17" s="103"/>
      <c r="D17" s="103"/>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row>
    <row r="18" spans="1:37" x14ac:dyDescent="0.25">
      <c r="A18" s="79"/>
      <c r="B18" s="103"/>
      <c r="C18" s="103"/>
      <c r="D18" s="103"/>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row>
    <row r="19" spans="1:37" x14ac:dyDescent="0.25">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row>
    <row r="20" spans="1:37" x14ac:dyDescent="0.25">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row>
    <row r="21" spans="1:37" x14ac:dyDescent="0.25">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row>
    <row r="22" spans="1:37" x14ac:dyDescent="0.25">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row>
    <row r="23" spans="1:37" x14ac:dyDescent="0.25">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row>
    <row r="24" spans="1:37" x14ac:dyDescent="0.25">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row>
    <row r="25" spans="1:37" x14ac:dyDescent="0.25">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row>
    <row r="26" spans="1:37" x14ac:dyDescent="0.25">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row>
    <row r="27" spans="1:37" x14ac:dyDescent="0.25">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row>
    <row r="28" spans="1:37" x14ac:dyDescent="0.25">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row>
    <row r="29" spans="1:37" x14ac:dyDescent="0.25">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row>
    <row r="30" spans="1:37" x14ac:dyDescent="0.25">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row>
    <row r="31" spans="1:37" x14ac:dyDescent="0.25">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row>
    <row r="32" spans="1:37" x14ac:dyDescent="0.2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row>
    <row r="33" spans="1:31" x14ac:dyDescent="0.25">
      <c r="A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row>
    <row r="34" spans="1:31" x14ac:dyDescent="0.25">
      <c r="A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row>
    <row r="35" spans="1:31" x14ac:dyDescent="0.25">
      <c r="A35" s="79"/>
    </row>
    <row r="36" spans="1:31" x14ac:dyDescent="0.25">
      <c r="A36" s="79"/>
    </row>
    <row r="37" spans="1:31" x14ac:dyDescent="0.25">
      <c r="A37" s="79"/>
    </row>
    <row r="38" spans="1:31" x14ac:dyDescent="0.25">
      <c r="A38" s="79"/>
    </row>
    <row r="39" spans="1:31" x14ac:dyDescent="0.25">
      <c r="A39" s="79"/>
    </row>
    <row r="40" spans="1:31" x14ac:dyDescent="0.25">
      <c r="A40" s="79"/>
    </row>
    <row r="41" spans="1:31" x14ac:dyDescent="0.25">
      <c r="A41" s="79"/>
    </row>
    <row r="42" spans="1:31" x14ac:dyDescent="0.25">
      <c r="A42" s="79"/>
    </row>
    <row r="43" spans="1:31" x14ac:dyDescent="0.25">
      <c r="A43" s="79"/>
    </row>
    <row r="44" spans="1:31" x14ac:dyDescent="0.25">
      <c r="A44" s="79"/>
    </row>
    <row r="45" spans="1:31" x14ac:dyDescent="0.25">
      <c r="A45" s="79"/>
    </row>
    <row r="46" spans="1:31" x14ac:dyDescent="0.25">
      <c r="A46" s="79"/>
    </row>
    <row r="47" spans="1:31" x14ac:dyDescent="0.25">
      <c r="A47" s="79"/>
    </row>
    <row r="48" spans="1:31" x14ac:dyDescent="0.25">
      <c r="A48" s="79"/>
    </row>
    <row r="49" spans="1:1" x14ac:dyDescent="0.25">
      <c r="A49" s="79"/>
    </row>
    <row r="50" spans="1:1" x14ac:dyDescent="0.25">
      <c r="A50" s="79"/>
    </row>
    <row r="51" spans="1:1" x14ac:dyDescent="0.25">
      <c r="A51" s="79"/>
    </row>
    <row r="52" spans="1:1" x14ac:dyDescent="0.25">
      <c r="A52" s="79"/>
    </row>
    <row r="53" spans="1:1" x14ac:dyDescent="0.25">
      <c r="A53" s="79"/>
    </row>
    <row r="54" spans="1:1" x14ac:dyDescent="0.25">
      <c r="A54" s="79"/>
    </row>
    <row r="55" spans="1:1" x14ac:dyDescent="0.25">
      <c r="A55" s="79"/>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E4" sqref="D4:E4"/>
    </sheetView>
  </sheetViews>
  <sheetFormatPr baseColWidth="10" defaultColWidth="11.42578125" defaultRowHeight="15" x14ac:dyDescent="0.25"/>
  <cols>
    <col min="1" max="1" width="5.42578125" customWidth="1"/>
    <col min="2" max="2" width="40.42578125" customWidth="1"/>
    <col min="3" max="3" width="69.5703125" customWidth="1"/>
    <col min="4" max="4" width="135" bestFit="1" customWidth="1"/>
    <col min="5" max="5" width="56.140625" customWidth="1"/>
  </cols>
  <sheetData>
    <row r="1" spans="1:21" ht="33.75" x14ac:dyDescent="0.25">
      <c r="A1" s="79"/>
      <c r="B1" s="482" t="s">
        <v>119</v>
      </c>
      <c r="C1" s="482"/>
      <c r="D1" s="482"/>
      <c r="E1" s="79"/>
      <c r="F1" s="79"/>
      <c r="G1" s="79"/>
      <c r="H1" s="79"/>
      <c r="I1" s="79"/>
      <c r="J1" s="79"/>
      <c r="K1" s="79"/>
      <c r="L1" s="79"/>
      <c r="M1" s="79"/>
      <c r="N1" s="79"/>
      <c r="O1" s="79"/>
      <c r="P1" s="79"/>
      <c r="Q1" s="79"/>
      <c r="R1" s="79"/>
      <c r="S1" s="79"/>
      <c r="T1" s="79"/>
      <c r="U1" s="79"/>
    </row>
    <row r="2" spans="1:21" x14ac:dyDescent="0.25">
      <c r="A2" s="79"/>
      <c r="B2" s="79"/>
      <c r="C2" s="79"/>
      <c r="D2" s="79"/>
      <c r="E2" s="79"/>
      <c r="F2" s="79"/>
      <c r="G2" s="79"/>
      <c r="H2" s="79"/>
      <c r="I2" s="79"/>
      <c r="J2" s="79"/>
      <c r="K2" s="79"/>
      <c r="L2" s="79"/>
      <c r="M2" s="79"/>
      <c r="N2" s="79"/>
      <c r="O2" s="79"/>
      <c r="P2" s="79"/>
      <c r="Q2" s="79"/>
      <c r="R2" s="79"/>
      <c r="S2" s="79"/>
      <c r="T2" s="79"/>
      <c r="U2" s="79"/>
    </row>
    <row r="3" spans="1:21" ht="60" x14ac:dyDescent="0.25">
      <c r="A3" s="79"/>
      <c r="B3" s="100"/>
      <c r="C3" s="32" t="s">
        <v>120</v>
      </c>
      <c r="D3" s="32" t="s">
        <v>121</v>
      </c>
      <c r="E3" s="32" t="s">
        <v>236</v>
      </c>
      <c r="F3" s="79"/>
      <c r="G3" s="79"/>
      <c r="H3" s="79"/>
      <c r="I3" s="79"/>
      <c r="J3" s="79"/>
      <c r="K3" s="79"/>
      <c r="L3" s="79"/>
      <c r="M3" s="79"/>
      <c r="N3" s="79"/>
      <c r="O3" s="79"/>
      <c r="P3" s="79"/>
      <c r="Q3" s="79"/>
      <c r="R3" s="79"/>
      <c r="S3" s="79"/>
      <c r="T3" s="79"/>
      <c r="U3" s="79"/>
    </row>
    <row r="4" spans="1:21" ht="33.75" x14ac:dyDescent="0.25">
      <c r="A4" s="99" t="s">
        <v>122</v>
      </c>
      <c r="B4" s="35" t="s">
        <v>123</v>
      </c>
      <c r="C4" s="40" t="s">
        <v>124</v>
      </c>
      <c r="D4" s="33" t="s">
        <v>125</v>
      </c>
      <c r="E4" s="33" t="s">
        <v>237</v>
      </c>
      <c r="F4" s="79"/>
      <c r="G4" s="79"/>
      <c r="H4" s="79"/>
      <c r="I4" s="79"/>
      <c r="J4" s="79"/>
      <c r="K4" s="79"/>
      <c r="L4" s="79"/>
      <c r="M4" s="79"/>
      <c r="N4" s="79"/>
      <c r="O4" s="79"/>
      <c r="P4" s="79"/>
      <c r="Q4" s="79"/>
      <c r="R4" s="79"/>
      <c r="S4" s="79"/>
      <c r="T4" s="79"/>
      <c r="U4" s="79"/>
    </row>
    <row r="5" spans="1:21" ht="67.5" x14ac:dyDescent="0.25">
      <c r="A5" s="99" t="s">
        <v>126</v>
      </c>
      <c r="B5" s="36" t="s">
        <v>127</v>
      </c>
      <c r="C5" s="41" t="s">
        <v>128</v>
      </c>
      <c r="D5" s="34" t="s">
        <v>241</v>
      </c>
      <c r="E5" s="34" t="s">
        <v>238</v>
      </c>
      <c r="F5" s="79"/>
      <c r="G5" s="79"/>
      <c r="H5" s="79"/>
      <c r="I5" s="79"/>
      <c r="J5" s="79"/>
      <c r="K5" s="79"/>
      <c r="L5" s="79"/>
      <c r="M5" s="79"/>
      <c r="N5" s="79"/>
      <c r="O5" s="79"/>
      <c r="P5" s="79"/>
      <c r="Q5" s="79"/>
      <c r="R5" s="79"/>
      <c r="S5" s="79"/>
      <c r="T5" s="79"/>
      <c r="U5" s="79"/>
    </row>
    <row r="6" spans="1:21" ht="67.5" x14ac:dyDescent="0.25">
      <c r="A6" s="99" t="s">
        <v>97</v>
      </c>
      <c r="B6" s="37" t="s">
        <v>130</v>
      </c>
      <c r="C6" s="41" t="s">
        <v>131</v>
      </c>
      <c r="D6" s="34" t="s">
        <v>132</v>
      </c>
      <c r="E6" s="34" t="s">
        <v>239</v>
      </c>
      <c r="F6" s="79"/>
      <c r="G6" s="79"/>
      <c r="H6" s="79"/>
      <c r="I6" s="79"/>
      <c r="J6" s="79"/>
      <c r="K6" s="79"/>
      <c r="L6" s="79"/>
      <c r="M6" s="79"/>
      <c r="N6" s="79"/>
      <c r="O6" s="79"/>
      <c r="P6" s="79"/>
      <c r="Q6" s="79"/>
      <c r="R6" s="79"/>
      <c r="S6" s="79"/>
      <c r="T6" s="79"/>
      <c r="U6" s="79"/>
    </row>
    <row r="7" spans="1:21" ht="101.25" x14ac:dyDescent="0.25">
      <c r="A7" s="99" t="s">
        <v>133</v>
      </c>
      <c r="B7" s="38" t="s">
        <v>134</v>
      </c>
      <c r="C7" s="41" t="s">
        <v>135</v>
      </c>
      <c r="D7" s="34" t="s">
        <v>136</v>
      </c>
      <c r="E7" s="34" t="s">
        <v>240</v>
      </c>
      <c r="F7" s="79"/>
      <c r="G7" s="79"/>
      <c r="H7" s="79"/>
      <c r="I7" s="79"/>
      <c r="J7" s="79"/>
      <c r="K7" s="79"/>
      <c r="L7" s="79"/>
      <c r="M7" s="79"/>
      <c r="N7" s="79"/>
      <c r="O7" s="79"/>
      <c r="P7" s="79"/>
      <c r="Q7" s="79"/>
      <c r="R7" s="79"/>
      <c r="S7" s="79"/>
      <c r="T7" s="79"/>
      <c r="U7" s="79"/>
    </row>
    <row r="8" spans="1:21" ht="67.5" x14ac:dyDescent="0.25">
      <c r="A8" s="99" t="s">
        <v>137</v>
      </c>
      <c r="B8" s="39" t="s">
        <v>138</v>
      </c>
      <c r="C8" s="41" t="s">
        <v>139</v>
      </c>
      <c r="D8" s="34" t="s">
        <v>140</v>
      </c>
      <c r="E8" s="34" t="s">
        <v>242</v>
      </c>
      <c r="F8" s="79"/>
      <c r="G8" s="79"/>
      <c r="H8" s="79"/>
      <c r="I8" s="79"/>
      <c r="J8" s="79"/>
      <c r="K8" s="79"/>
      <c r="L8" s="79"/>
      <c r="M8" s="79"/>
      <c r="N8" s="79"/>
      <c r="O8" s="79"/>
      <c r="P8" s="79"/>
      <c r="Q8" s="79"/>
      <c r="R8" s="79"/>
      <c r="S8" s="79"/>
      <c r="T8" s="79"/>
      <c r="U8" s="79"/>
    </row>
    <row r="9" spans="1:21" ht="20.25" x14ac:dyDescent="0.25">
      <c r="A9" s="99"/>
      <c r="B9" s="99"/>
      <c r="C9" s="101"/>
      <c r="D9" s="101"/>
      <c r="E9" s="79"/>
      <c r="F9" s="79"/>
      <c r="G9" s="79"/>
      <c r="H9" s="79"/>
      <c r="I9" s="79"/>
      <c r="J9" s="79"/>
      <c r="K9" s="79"/>
      <c r="L9" s="79"/>
      <c r="M9" s="79"/>
      <c r="N9" s="79"/>
      <c r="O9" s="79"/>
      <c r="P9" s="79"/>
      <c r="Q9" s="79"/>
      <c r="R9" s="79"/>
      <c r="S9" s="79"/>
      <c r="T9" s="79"/>
      <c r="U9" s="79"/>
    </row>
    <row r="10" spans="1:21" ht="16.5" x14ac:dyDescent="0.25">
      <c r="A10" s="99"/>
      <c r="B10" s="102"/>
      <c r="C10" s="102"/>
      <c r="D10" s="102"/>
      <c r="E10" s="79"/>
      <c r="F10" s="79"/>
      <c r="G10" s="79"/>
      <c r="H10" s="79"/>
      <c r="I10" s="79"/>
      <c r="J10" s="79"/>
      <c r="K10" s="79"/>
      <c r="L10" s="79"/>
      <c r="M10" s="79"/>
      <c r="N10" s="79"/>
      <c r="O10" s="79"/>
      <c r="P10" s="79"/>
      <c r="Q10" s="79"/>
      <c r="R10" s="79"/>
      <c r="S10" s="79"/>
      <c r="T10" s="79"/>
      <c r="U10" s="79"/>
    </row>
    <row r="11" spans="1:21" x14ac:dyDescent="0.25">
      <c r="A11" s="99"/>
      <c r="B11" s="99" t="s">
        <v>141</v>
      </c>
      <c r="C11" s="99" t="s">
        <v>142</v>
      </c>
      <c r="D11" s="99" t="s">
        <v>143</v>
      </c>
      <c r="E11" s="79"/>
      <c r="F11" s="79"/>
      <c r="G11" s="79"/>
      <c r="H11" s="79"/>
      <c r="I11" s="79"/>
      <c r="J11" s="79"/>
      <c r="K11" s="79"/>
      <c r="L11" s="79"/>
      <c r="M11" s="79"/>
      <c r="N11" s="79"/>
      <c r="O11" s="79"/>
      <c r="P11" s="79"/>
      <c r="Q11" s="79"/>
      <c r="R11" s="79"/>
      <c r="S11" s="79"/>
      <c r="T11" s="79"/>
      <c r="U11" s="79"/>
    </row>
    <row r="12" spans="1:21" x14ac:dyDescent="0.25">
      <c r="A12" s="99"/>
      <c r="B12" s="99" t="s">
        <v>144</v>
      </c>
      <c r="C12" s="99" t="s">
        <v>145</v>
      </c>
      <c r="D12" s="99" t="s">
        <v>146</v>
      </c>
      <c r="E12" s="79"/>
      <c r="F12" s="79"/>
      <c r="G12" s="79"/>
      <c r="H12" s="79"/>
      <c r="I12" s="79"/>
      <c r="J12" s="79"/>
      <c r="K12" s="79"/>
      <c r="L12" s="79"/>
      <c r="M12" s="79"/>
      <c r="N12" s="79"/>
      <c r="O12" s="79"/>
      <c r="P12" s="79"/>
      <c r="Q12" s="79"/>
      <c r="R12" s="79"/>
      <c r="S12" s="79"/>
      <c r="T12" s="79"/>
      <c r="U12" s="79"/>
    </row>
    <row r="13" spans="1:21" x14ac:dyDescent="0.25">
      <c r="A13" s="99"/>
      <c r="B13" s="99"/>
      <c r="C13" s="99" t="s">
        <v>147</v>
      </c>
      <c r="D13" s="99" t="s">
        <v>148</v>
      </c>
      <c r="E13" s="79"/>
      <c r="F13" s="79"/>
      <c r="G13" s="79"/>
      <c r="H13" s="79"/>
      <c r="I13" s="79"/>
      <c r="J13" s="79"/>
      <c r="K13" s="79"/>
      <c r="L13" s="79"/>
      <c r="M13" s="79"/>
      <c r="N13" s="79"/>
      <c r="O13" s="79"/>
      <c r="P13" s="79"/>
      <c r="Q13" s="79"/>
      <c r="R13" s="79"/>
      <c r="S13" s="79"/>
      <c r="T13" s="79"/>
      <c r="U13" s="79"/>
    </row>
    <row r="14" spans="1:21" x14ac:dyDescent="0.25">
      <c r="A14" s="99"/>
      <c r="B14" s="99"/>
      <c r="C14" s="99" t="s">
        <v>149</v>
      </c>
      <c r="D14" s="99" t="s">
        <v>150</v>
      </c>
      <c r="E14" s="79"/>
      <c r="F14" s="79"/>
      <c r="G14" s="79"/>
      <c r="H14" s="79"/>
      <c r="I14" s="79"/>
      <c r="J14" s="79"/>
      <c r="K14" s="79"/>
      <c r="L14" s="79"/>
      <c r="M14" s="79"/>
      <c r="N14" s="79"/>
      <c r="O14" s="79"/>
      <c r="P14" s="79"/>
      <c r="Q14" s="79"/>
      <c r="R14" s="79"/>
      <c r="S14" s="79"/>
      <c r="T14" s="79"/>
      <c r="U14" s="79"/>
    </row>
    <row r="15" spans="1:21" x14ac:dyDescent="0.25">
      <c r="A15" s="99"/>
      <c r="B15" s="99"/>
      <c r="C15" s="99" t="s">
        <v>151</v>
      </c>
      <c r="D15" s="99" t="s">
        <v>152</v>
      </c>
      <c r="E15" s="79"/>
      <c r="F15" s="79"/>
      <c r="G15" s="79"/>
      <c r="H15" s="79"/>
      <c r="I15" s="79"/>
      <c r="J15" s="79"/>
      <c r="K15" s="79"/>
      <c r="L15" s="79"/>
      <c r="M15" s="79"/>
      <c r="N15" s="79"/>
      <c r="O15" s="79"/>
      <c r="P15" s="79"/>
      <c r="Q15" s="79"/>
      <c r="R15" s="79"/>
      <c r="S15" s="79"/>
      <c r="T15" s="79"/>
      <c r="U15" s="79"/>
    </row>
    <row r="16" spans="1:21" x14ac:dyDescent="0.25">
      <c r="A16" s="99"/>
      <c r="B16" s="99"/>
      <c r="C16" s="99"/>
      <c r="D16" s="99"/>
      <c r="E16" s="79"/>
      <c r="F16" s="79"/>
      <c r="G16" s="79"/>
      <c r="H16" s="79"/>
      <c r="I16" s="79"/>
      <c r="J16" s="79"/>
      <c r="K16" s="79"/>
      <c r="L16" s="79"/>
      <c r="M16" s="79"/>
      <c r="N16" s="79"/>
      <c r="O16" s="79"/>
    </row>
    <row r="17" spans="1:15" x14ac:dyDescent="0.25">
      <c r="A17" s="99"/>
      <c r="B17" s="99"/>
      <c r="C17" s="99"/>
      <c r="D17" s="99"/>
      <c r="E17" s="79"/>
      <c r="F17" s="79"/>
      <c r="G17" s="79"/>
      <c r="H17" s="79"/>
      <c r="I17" s="79"/>
      <c r="J17" s="79"/>
      <c r="K17" s="79"/>
      <c r="L17" s="79"/>
      <c r="M17" s="79"/>
      <c r="N17" s="79"/>
      <c r="O17" s="79"/>
    </row>
    <row r="18" spans="1:15" x14ac:dyDescent="0.25">
      <c r="A18" s="99"/>
      <c r="B18" s="103"/>
      <c r="C18" s="103"/>
      <c r="D18" s="103"/>
      <c r="E18" s="79"/>
      <c r="F18" s="79"/>
      <c r="G18" s="79"/>
      <c r="H18" s="79"/>
      <c r="I18" s="79"/>
      <c r="J18" s="79"/>
      <c r="K18" s="79"/>
      <c r="L18" s="79"/>
      <c r="M18" s="79"/>
      <c r="N18" s="79"/>
      <c r="O18" s="79"/>
    </row>
    <row r="19" spans="1:15" x14ac:dyDescent="0.25">
      <c r="A19" s="99"/>
      <c r="B19" s="103"/>
      <c r="C19" s="103"/>
      <c r="D19" s="103"/>
      <c r="E19" s="79"/>
      <c r="F19" s="79"/>
      <c r="G19" s="79"/>
      <c r="H19" s="79"/>
      <c r="I19" s="79"/>
      <c r="J19" s="79"/>
      <c r="K19" s="79"/>
      <c r="L19" s="79"/>
      <c r="M19" s="79"/>
      <c r="N19" s="79"/>
      <c r="O19" s="79"/>
    </row>
    <row r="20" spans="1:15" x14ac:dyDescent="0.25">
      <c r="A20" s="99"/>
      <c r="B20" s="103"/>
      <c r="C20" s="103"/>
      <c r="D20" s="103"/>
      <c r="E20" s="79"/>
      <c r="F20" s="79"/>
      <c r="G20" s="79"/>
      <c r="H20" s="79"/>
      <c r="I20" s="79"/>
      <c r="J20" s="79"/>
      <c r="K20" s="79"/>
      <c r="L20" s="79"/>
      <c r="M20" s="79"/>
      <c r="N20" s="79"/>
      <c r="O20" s="79"/>
    </row>
    <row r="21" spans="1:15" x14ac:dyDescent="0.25">
      <c r="A21" s="99"/>
      <c r="B21" s="103"/>
      <c r="C21" s="103"/>
      <c r="D21" s="103"/>
      <c r="E21" s="79"/>
      <c r="F21" s="79"/>
      <c r="G21" s="79"/>
      <c r="H21" s="79"/>
      <c r="I21" s="79"/>
      <c r="J21" s="79"/>
      <c r="K21" s="79"/>
      <c r="L21" s="79"/>
      <c r="M21" s="79"/>
      <c r="N21" s="79"/>
      <c r="O21" s="79"/>
    </row>
    <row r="22" spans="1:15" ht="20.25" x14ac:dyDescent="0.25">
      <c r="A22" s="99"/>
      <c r="B22" s="99"/>
      <c r="C22" s="101"/>
      <c r="D22" s="101"/>
      <c r="E22" s="79"/>
      <c r="F22" s="79"/>
      <c r="G22" s="79"/>
      <c r="H22" s="79"/>
      <c r="I22" s="79"/>
      <c r="J22" s="79"/>
      <c r="K22" s="79"/>
      <c r="L22" s="79"/>
      <c r="M22" s="79"/>
      <c r="N22" s="79"/>
      <c r="O22" s="79"/>
    </row>
    <row r="23" spans="1:15" ht="20.25" x14ac:dyDescent="0.25">
      <c r="A23" s="99"/>
      <c r="B23" s="99"/>
      <c r="C23" s="101"/>
      <c r="D23" s="101"/>
      <c r="E23" s="79"/>
      <c r="F23" s="79"/>
      <c r="G23" s="79"/>
      <c r="H23" s="79"/>
      <c r="I23" s="79"/>
      <c r="J23" s="79"/>
      <c r="K23" s="79"/>
      <c r="L23" s="79"/>
      <c r="M23" s="79"/>
      <c r="N23" s="79"/>
      <c r="O23" s="79"/>
    </row>
    <row r="24" spans="1:15" ht="20.25" x14ac:dyDescent="0.25">
      <c r="A24" s="99"/>
      <c r="B24" s="99"/>
      <c r="C24" s="101"/>
      <c r="D24" s="101"/>
      <c r="E24" s="79"/>
      <c r="F24" s="79"/>
      <c r="G24" s="79"/>
      <c r="H24" s="79"/>
      <c r="I24" s="79"/>
      <c r="J24" s="79"/>
      <c r="K24" s="79"/>
      <c r="L24" s="79"/>
      <c r="M24" s="79"/>
      <c r="N24" s="79"/>
      <c r="O24" s="79"/>
    </row>
    <row r="25" spans="1:15" ht="20.25" x14ac:dyDescent="0.25">
      <c r="A25" s="99"/>
      <c r="B25" s="99"/>
      <c r="C25" s="101"/>
      <c r="D25" s="101"/>
      <c r="E25" s="79"/>
      <c r="F25" s="79"/>
      <c r="G25" s="79"/>
      <c r="H25" s="79"/>
      <c r="I25" s="79"/>
      <c r="J25" s="79"/>
      <c r="K25" s="79"/>
      <c r="L25" s="79"/>
      <c r="M25" s="79"/>
      <c r="N25" s="79"/>
      <c r="O25" s="79"/>
    </row>
    <row r="26" spans="1:15" ht="20.25" x14ac:dyDescent="0.25">
      <c r="A26" s="99"/>
      <c r="B26" s="99"/>
      <c r="C26" s="101"/>
      <c r="D26" s="101"/>
      <c r="E26" s="79"/>
      <c r="F26" s="79"/>
      <c r="G26" s="79"/>
      <c r="H26" s="79"/>
      <c r="I26" s="79"/>
      <c r="J26" s="79"/>
      <c r="K26" s="79"/>
      <c r="L26" s="79"/>
      <c r="M26" s="79"/>
      <c r="N26" s="79"/>
      <c r="O26" s="79"/>
    </row>
    <row r="27" spans="1:15" ht="20.25" x14ac:dyDescent="0.25">
      <c r="A27" s="99"/>
      <c r="B27" s="99"/>
      <c r="C27" s="101"/>
      <c r="D27" s="101"/>
      <c r="E27" s="79"/>
      <c r="F27" s="79"/>
      <c r="G27" s="79"/>
      <c r="H27" s="79"/>
      <c r="I27" s="79"/>
      <c r="J27" s="79"/>
      <c r="K27" s="79"/>
      <c r="L27" s="79"/>
      <c r="M27" s="79"/>
      <c r="N27" s="79"/>
      <c r="O27" s="79"/>
    </row>
    <row r="28" spans="1:15" ht="20.25" x14ac:dyDescent="0.25">
      <c r="A28" s="99"/>
      <c r="B28" s="99"/>
      <c r="C28" s="101"/>
      <c r="D28" s="101"/>
      <c r="E28" s="79"/>
      <c r="F28" s="79"/>
      <c r="G28" s="79"/>
      <c r="H28" s="79"/>
      <c r="I28" s="79"/>
      <c r="J28" s="79"/>
      <c r="K28" s="79"/>
      <c r="L28" s="79"/>
      <c r="M28" s="79"/>
      <c r="N28" s="79"/>
      <c r="O28" s="79"/>
    </row>
    <row r="29" spans="1:15" ht="20.25" x14ac:dyDescent="0.25">
      <c r="A29" s="99"/>
      <c r="B29" s="99"/>
      <c r="C29" s="101"/>
      <c r="D29" s="101"/>
      <c r="E29" s="79"/>
      <c r="F29" s="79"/>
      <c r="G29" s="79"/>
      <c r="H29" s="79"/>
      <c r="I29" s="79"/>
      <c r="J29" s="79"/>
      <c r="K29" s="79"/>
      <c r="L29" s="79"/>
      <c r="M29" s="79"/>
      <c r="N29" s="79"/>
      <c r="O29" s="79"/>
    </row>
    <row r="30" spans="1:15" ht="20.25" x14ac:dyDescent="0.25">
      <c r="A30" s="99"/>
      <c r="B30" s="99"/>
      <c r="C30" s="101"/>
      <c r="D30" s="101"/>
      <c r="E30" s="79"/>
      <c r="F30" s="79"/>
      <c r="G30" s="79"/>
      <c r="H30" s="79"/>
      <c r="I30" s="79"/>
      <c r="J30" s="79"/>
      <c r="K30" s="79"/>
      <c r="L30" s="79"/>
      <c r="M30" s="79"/>
      <c r="N30" s="79"/>
      <c r="O30" s="79"/>
    </row>
    <row r="31" spans="1:15" ht="20.25" x14ac:dyDescent="0.25">
      <c r="A31" s="99"/>
      <c r="B31" s="99"/>
      <c r="C31" s="101"/>
      <c r="D31" s="101"/>
      <c r="E31" s="79"/>
      <c r="F31" s="79"/>
      <c r="G31" s="79"/>
      <c r="H31" s="79"/>
      <c r="I31" s="79"/>
      <c r="J31" s="79"/>
      <c r="K31" s="79"/>
      <c r="L31" s="79"/>
      <c r="M31" s="79"/>
      <c r="N31" s="79"/>
      <c r="O31" s="79"/>
    </row>
    <row r="32" spans="1:15" ht="20.25" x14ac:dyDescent="0.25">
      <c r="A32" s="99"/>
      <c r="B32" s="99"/>
      <c r="C32" s="101"/>
      <c r="D32" s="101"/>
      <c r="E32" s="79"/>
      <c r="F32" s="79"/>
      <c r="G32" s="79"/>
      <c r="H32" s="79"/>
      <c r="I32" s="79"/>
      <c r="J32" s="79"/>
      <c r="K32" s="79"/>
      <c r="L32" s="79"/>
      <c r="M32" s="79"/>
      <c r="N32" s="79"/>
      <c r="O32" s="79"/>
    </row>
    <row r="33" spans="1:15" ht="20.25" x14ac:dyDescent="0.25">
      <c r="A33" s="99"/>
      <c r="B33" s="99"/>
      <c r="C33" s="101"/>
      <c r="D33" s="101"/>
      <c r="E33" s="79"/>
      <c r="F33" s="79"/>
      <c r="G33" s="79"/>
      <c r="H33" s="79"/>
      <c r="I33" s="79"/>
      <c r="J33" s="79"/>
      <c r="K33" s="79"/>
      <c r="L33" s="79"/>
      <c r="M33" s="79"/>
      <c r="N33" s="79"/>
      <c r="O33" s="79"/>
    </row>
    <row r="34" spans="1:15" ht="20.25" x14ac:dyDescent="0.25">
      <c r="A34" s="99"/>
      <c r="B34" s="99"/>
      <c r="C34" s="101"/>
      <c r="D34" s="101"/>
      <c r="E34" s="79"/>
      <c r="F34" s="79"/>
      <c r="G34" s="79"/>
      <c r="H34" s="79"/>
      <c r="I34" s="79"/>
      <c r="J34" s="79"/>
      <c r="K34" s="79"/>
      <c r="L34" s="79"/>
      <c r="M34" s="79"/>
      <c r="N34" s="79"/>
      <c r="O34" s="79"/>
    </row>
    <row r="35" spans="1:15" ht="20.25" x14ac:dyDescent="0.25">
      <c r="A35" s="99"/>
      <c r="B35" s="99"/>
      <c r="C35" s="101"/>
      <c r="D35" s="101"/>
      <c r="E35" s="79"/>
      <c r="F35" s="79"/>
      <c r="G35" s="79"/>
      <c r="H35" s="79"/>
      <c r="I35" s="79"/>
      <c r="J35" s="79"/>
      <c r="K35" s="79"/>
      <c r="L35" s="79"/>
      <c r="M35" s="79"/>
      <c r="N35" s="79"/>
      <c r="O35" s="79"/>
    </row>
    <row r="36" spans="1:15" ht="20.25" x14ac:dyDescent="0.25">
      <c r="A36" s="99"/>
      <c r="B36" s="99"/>
      <c r="C36" s="101"/>
      <c r="D36" s="101"/>
      <c r="E36" s="79"/>
      <c r="F36" s="79"/>
      <c r="G36" s="79"/>
      <c r="H36" s="79"/>
      <c r="I36" s="79"/>
      <c r="J36" s="79"/>
      <c r="K36" s="79"/>
      <c r="L36" s="79"/>
      <c r="M36" s="79"/>
      <c r="N36" s="79"/>
      <c r="O36" s="79"/>
    </row>
    <row r="37" spans="1:15" ht="20.25" x14ac:dyDescent="0.25">
      <c r="A37" s="99"/>
      <c r="B37" s="99"/>
      <c r="C37" s="101"/>
      <c r="D37" s="101"/>
      <c r="E37" s="79"/>
      <c r="F37" s="79"/>
      <c r="G37" s="79"/>
      <c r="H37" s="79"/>
      <c r="I37" s="79"/>
      <c r="J37" s="79"/>
      <c r="K37" s="79"/>
      <c r="L37" s="79"/>
      <c r="M37" s="79"/>
      <c r="N37" s="79"/>
      <c r="O37" s="79"/>
    </row>
    <row r="38" spans="1:15" ht="20.25" x14ac:dyDescent="0.25">
      <c r="A38" s="99"/>
      <c r="B38" s="99"/>
      <c r="C38" s="101"/>
      <c r="D38" s="101"/>
      <c r="E38" s="79"/>
      <c r="F38" s="79"/>
      <c r="G38" s="79"/>
      <c r="H38" s="79"/>
      <c r="I38" s="79"/>
      <c r="J38" s="79"/>
      <c r="K38" s="79"/>
      <c r="L38" s="79"/>
      <c r="M38" s="79"/>
      <c r="N38" s="79"/>
      <c r="O38" s="79"/>
    </row>
    <row r="39" spans="1:15" ht="20.25" x14ac:dyDescent="0.25">
      <c r="A39" s="99"/>
      <c r="B39" s="99"/>
      <c r="C39" s="101"/>
      <c r="D39" s="101"/>
      <c r="E39" s="79"/>
      <c r="F39" s="79"/>
      <c r="G39" s="79"/>
      <c r="H39" s="79"/>
      <c r="I39" s="79"/>
      <c r="J39" s="79"/>
      <c r="K39" s="79"/>
      <c r="L39" s="79"/>
      <c r="M39" s="79"/>
      <c r="N39" s="79"/>
      <c r="O39" s="79"/>
    </row>
    <row r="40" spans="1:15" ht="20.25" x14ac:dyDescent="0.25">
      <c r="A40" s="99"/>
      <c r="B40" s="99"/>
      <c r="C40" s="101"/>
      <c r="D40" s="101"/>
      <c r="E40" s="79"/>
      <c r="F40" s="79"/>
      <c r="G40" s="79"/>
      <c r="H40" s="79"/>
      <c r="I40" s="79"/>
      <c r="J40" s="79"/>
      <c r="K40" s="79"/>
      <c r="L40" s="79"/>
      <c r="M40" s="79"/>
      <c r="N40" s="79"/>
      <c r="O40" s="79"/>
    </row>
    <row r="41" spans="1:15" ht="20.25" x14ac:dyDescent="0.25">
      <c r="A41" s="99"/>
      <c r="B41" s="99"/>
      <c r="C41" s="101"/>
      <c r="D41" s="101"/>
      <c r="E41" s="79"/>
      <c r="F41" s="79"/>
      <c r="G41" s="79"/>
      <c r="H41" s="79"/>
      <c r="I41" s="79"/>
      <c r="J41" s="79"/>
      <c r="K41" s="79"/>
      <c r="L41" s="79"/>
      <c r="M41" s="79"/>
      <c r="N41" s="79"/>
      <c r="O41" s="79"/>
    </row>
    <row r="42" spans="1:15" ht="20.25" x14ac:dyDescent="0.25">
      <c r="A42" s="99"/>
      <c r="B42" s="99"/>
      <c r="C42" s="101"/>
      <c r="D42" s="101"/>
      <c r="E42" s="79"/>
      <c r="F42" s="79"/>
      <c r="G42" s="79"/>
      <c r="H42" s="79"/>
      <c r="I42" s="79"/>
      <c r="J42" s="79"/>
      <c r="K42" s="79"/>
      <c r="L42" s="79"/>
      <c r="M42" s="79"/>
      <c r="N42" s="79"/>
      <c r="O42" s="79"/>
    </row>
    <row r="43" spans="1:15" ht="20.25" x14ac:dyDescent="0.25">
      <c r="A43" s="99"/>
      <c r="B43" s="99"/>
      <c r="C43" s="101"/>
      <c r="D43" s="101"/>
      <c r="E43" s="79"/>
      <c r="F43" s="79"/>
      <c r="G43" s="79"/>
      <c r="H43" s="79"/>
      <c r="I43" s="79"/>
      <c r="J43" s="79"/>
      <c r="K43" s="79"/>
      <c r="L43" s="79"/>
      <c r="M43" s="79"/>
      <c r="N43" s="79"/>
      <c r="O43" s="79"/>
    </row>
    <row r="44" spans="1:15" ht="20.25" x14ac:dyDescent="0.25">
      <c r="A44" s="99"/>
      <c r="B44" s="99"/>
      <c r="C44" s="101"/>
      <c r="D44" s="101"/>
      <c r="E44" s="79"/>
      <c r="F44" s="79"/>
      <c r="G44" s="79"/>
      <c r="H44" s="79"/>
      <c r="I44" s="79"/>
      <c r="J44" s="79"/>
      <c r="K44" s="79"/>
      <c r="L44" s="79"/>
      <c r="M44" s="79"/>
      <c r="N44" s="79"/>
      <c r="O44" s="79"/>
    </row>
    <row r="45" spans="1:15" ht="20.25" x14ac:dyDescent="0.25">
      <c r="A45" s="99"/>
      <c r="B45" s="99"/>
      <c r="C45" s="101"/>
      <c r="D45" s="101"/>
      <c r="E45" s="79"/>
      <c r="F45" s="79"/>
      <c r="G45" s="79"/>
      <c r="H45" s="79"/>
      <c r="I45" s="79"/>
      <c r="J45" s="79"/>
      <c r="K45" s="79"/>
      <c r="L45" s="79"/>
      <c r="M45" s="79"/>
      <c r="N45" s="79"/>
      <c r="O45" s="79"/>
    </row>
    <row r="46" spans="1:15" ht="20.25" x14ac:dyDescent="0.25">
      <c r="A46" s="99"/>
      <c r="B46" s="99"/>
      <c r="C46" s="101"/>
      <c r="D46" s="101"/>
      <c r="E46" s="79"/>
      <c r="F46" s="79"/>
      <c r="G46" s="79"/>
      <c r="H46" s="79"/>
      <c r="I46" s="79"/>
      <c r="J46" s="79"/>
      <c r="K46" s="79"/>
      <c r="L46" s="79"/>
      <c r="M46" s="79"/>
      <c r="N46" s="79"/>
      <c r="O46" s="79"/>
    </row>
    <row r="47" spans="1:15" ht="20.25" x14ac:dyDescent="0.25">
      <c r="A47" s="99"/>
      <c r="B47" s="99"/>
      <c r="C47" s="101"/>
      <c r="D47" s="101"/>
      <c r="E47" s="79"/>
      <c r="F47" s="79"/>
      <c r="G47" s="79"/>
      <c r="H47" s="79"/>
      <c r="I47" s="79"/>
      <c r="J47" s="79"/>
      <c r="K47" s="79"/>
      <c r="L47" s="79"/>
      <c r="M47" s="79"/>
      <c r="N47" s="79"/>
      <c r="O47" s="79"/>
    </row>
    <row r="48" spans="1:15" ht="20.25" x14ac:dyDescent="0.25">
      <c r="A48" s="99"/>
      <c r="B48" s="99"/>
      <c r="C48" s="101"/>
      <c r="D48" s="101"/>
      <c r="E48" s="79"/>
      <c r="F48" s="79"/>
      <c r="G48" s="79"/>
      <c r="H48" s="79"/>
      <c r="I48" s="79"/>
      <c r="J48" s="79"/>
      <c r="K48" s="79"/>
      <c r="L48" s="79"/>
      <c r="M48" s="79"/>
      <c r="N48" s="79"/>
      <c r="O48" s="79"/>
    </row>
    <row r="49" spans="1:15" ht="20.25" x14ac:dyDescent="0.25">
      <c r="A49" s="99"/>
      <c r="B49" s="99"/>
      <c r="C49" s="101"/>
      <c r="D49" s="101"/>
      <c r="E49" s="79"/>
      <c r="F49" s="79"/>
      <c r="G49" s="79"/>
      <c r="H49" s="79"/>
      <c r="I49" s="79"/>
      <c r="J49" s="79"/>
      <c r="K49" s="79"/>
      <c r="L49" s="79"/>
      <c r="M49" s="79"/>
      <c r="N49" s="79"/>
      <c r="O49" s="79"/>
    </row>
    <row r="50" spans="1:15" ht="20.25" x14ac:dyDescent="0.25">
      <c r="A50" s="99"/>
      <c r="B50" s="99"/>
      <c r="C50" s="101"/>
      <c r="D50" s="101"/>
      <c r="E50" s="79"/>
      <c r="F50" s="79"/>
      <c r="G50" s="79"/>
      <c r="H50" s="79"/>
      <c r="I50" s="79"/>
      <c r="J50" s="79"/>
      <c r="K50" s="79"/>
      <c r="L50" s="79"/>
      <c r="M50" s="79"/>
      <c r="N50" s="79"/>
      <c r="O50" s="79"/>
    </row>
    <row r="51" spans="1:15" ht="20.25" x14ac:dyDescent="0.25">
      <c r="A51" s="99"/>
      <c r="B51" s="99"/>
      <c r="C51" s="101"/>
      <c r="D51" s="101"/>
      <c r="E51" s="79"/>
      <c r="F51" s="79"/>
      <c r="G51" s="79"/>
      <c r="H51" s="79"/>
      <c r="I51" s="79"/>
      <c r="J51" s="79"/>
      <c r="K51" s="79"/>
      <c r="L51" s="79"/>
      <c r="M51" s="79"/>
      <c r="N51" s="79"/>
      <c r="O51" s="79"/>
    </row>
    <row r="52" spans="1:15" ht="20.25" x14ac:dyDescent="0.25">
      <c r="A52" s="99"/>
      <c r="B52" s="20"/>
      <c r="C52" s="30"/>
      <c r="D52" s="30"/>
    </row>
    <row r="53" spans="1:15" ht="20.25" x14ac:dyDescent="0.25">
      <c r="A53" s="99"/>
      <c r="B53" s="20"/>
      <c r="C53" s="30"/>
      <c r="D53" s="30"/>
    </row>
    <row r="54" spans="1:15" ht="20.25" x14ac:dyDescent="0.25">
      <c r="A54" s="99"/>
      <c r="B54" s="20"/>
      <c r="C54" s="30"/>
      <c r="D54" s="30"/>
    </row>
    <row r="55" spans="1:15" ht="20.25" x14ac:dyDescent="0.25">
      <c r="A55" s="99"/>
      <c r="B55" s="20"/>
      <c r="C55" s="30"/>
      <c r="D55" s="30"/>
    </row>
    <row r="56" spans="1:15" ht="20.25" x14ac:dyDescent="0.25">
      <c r="A56" s="99"/>
      <c r="B56" s="20"/>
      <c r="C56" s="30"/>
      <c r="D56" s="30"/>
    </row>
    <row r="57" spans="1:15" ht="20.25" x14ac:dyDescent="0.25">
      <c r="A57" s="99"/>
      <c r="B57" s="20"/>
      <c r="C57" s="30"/>
      <c r="D57" s="30"/>
    </row>
    <row r="58" spans="1:15" ht="20.25" x14ac:dyDescent="0.25">
      <c r="A58" s="99"/>
      <c r="B58" s="20"/>
      <c r="C58" s="30"/>
      <c r="D58" s="30"/>
    </row>
    <row r="59" spans="1:15" ht="20.25" x14ac:dyDescent="0.25">
      <c r="A59" s="99"/>
      <c r="B59" s="20"/>
      <c r="C59" s="30"/>
      <c r="D59" s="30"/>
    </row>
    <row r="60" spans="1:15" ht="20.25" x14ac:dyDescent="0.25">
      <c r="A60" s="99"/>
      <c r="B60" s="20"/>
      <c r="C60" s="30"/>
      <c r="D60" s="30"/>
    </row>
    <row r="61" spans="1:15" ht="20.25" x14ac:dyDescent="0.25">
      <c r="A61" s="99"/>
      <c r="B61" s="20"/>
      <c r="C61" s="30"/>
      <c r="D61" s="30"/>
    </row>
    <row r="62" spans="1:15" ht="20.25" x14ac:dyDescent="0.25">
      <c r="A62" s="99"/>
      <c r="B62" s="20"/>
      <c r="C62" s="30"/>
      <c r="D62" s="30"/>
    </row>
    <row r="63" spans="1:15" ht="20.25" x14ac:dyDescent="0.25">
      <c r="A63" s="99"/>
      <c r="B63" s="20"/>
      <c r="C63" s="30"/>
      <c r="D63" s="30"/>
    </row>
    <row r="64" spans="1:15" ht="20.25" x14ac:dyDescent="0.25">
      <c r="A64" s="99"/>
      <c r="B64" s="20"/>
      <c r="C64" s="30"/>
      <c r="D64" s="30"/>
    </row>
    <row r="65" spans="1:4" ht="20.25" x14ac:dyDescent="0.25">
      <c r="A65" s="99"/>
      <c r="B65" s="20"/>
      <c r="C65" s="30"/>
      <c r="D65" s="30"/>
    </row>
    <row r="66" spans="1:4" ht="20.25" x14ac:dyDescent="0.25">
      <c r="A66" s="99"/>
      <c r="B66" s="20"/>
      <c r="C66" s="30"/>
      <c r="D66" s="30"/>
    </row>
    <row r="67" spans="1:4" ht="20.25" x14ac:dyDescent="0.25">
      <c r="A67" s="99"/>
      <c r="B67" s="20"/>
      <c r="C67" s="30"/>
      <c r="D67" s="30"/>
    </row>
    <row r="68" spans="1:4" ht="20.25" x14ac:dyDescent="0.25">
      <c r="A68" s="99"/>
      <c r="B68" s="20"/>
      <c r="C68" s="30"/>
      <c r="D68" s="30"/>
    </row>
    <row r="69" spans="1:4" ht="20.25" x14ac:dyDescent="0.25">
      <c r="A69" s="99"/>
      <c r="B69" s="20"/>
      <c r="C69" s="30"/>
      <c r="D69" s="30"/>
    </row>
    <row r="70" spans="1:4" ht="20.25" x14ac:dyDescent="0.25">
      <c r="A70" s="99"/>
      <c r="B70" s="20"/>
      <c r="C70" s="30"/>
      <c r="D70" s="30"/>
    </row>
    <row r="71" spans="1:4" ht="20.25" x14ac:dyDescent="0.25">
      <c r="A71" s="99"/>
      <c r="B71" s="20"/>
      <c r="C71" s="30"/>
      <c r="D71" s="30"/>
    </row>
    <row r="72" spans="1:4" ht="20.25" x14ac:dyDescent="0.25">
      <c r="A72" s="99"/>
      <c r="B72" s="20"/>
      <c r="C72" s="30"/>
      <c r="D72" s="30"/>
    </row>
    <row r="73" spans="1:4" ht="20.25" x14ac:dyDescent="0.25">
      <c r="A73" s="99"/>
      <c r="B73" s="20"/>
      <c r="C73" s="30"/>
      <c r="D73" s="30"/>
    </row>
    <row r="74" spans="1:4" ht="20.25" x14ac:dyDescent="0.25">
      <c r="A74" s="99"/>
      <c r="B74" s="20"/>
      <c r="C74" s="30"/>
      <c r="D74" s="30"/>
    </row>
    <row r="75" spans="1:4" ht="20.25" x14ac:dyDescent="0.25">
      <c r="A75" s="99"/>
      <c r="B75" s="20"/>
      <c r="C75" s="30"/>
      <c r="D75" s="30"/>
    </row>
    <row r="76" spans="1:4" ht="20.25" x14ac:dyDescent="0.25">
      <c r="A76" s="99"/>
      <c r="B76" s="20"/>
      <c r="C76" s="30"/>
      <c r="D76" s="30"/>
    </row>
    <row r="77" spans="1:4" ht="20.25" x14ac:dyDescent="0.25">
      <c r="A77" s="99"/>
      <c r="B77" s="20"/>
      <c r="C77" s="30"/>
      <c r="D77" s="30"/>
    </row>
    <row r="78" spans="1:4" ht="20.25" x14ac:dyDescent="0.25">
      <c r="A78" s="99"/>
      <c r="B78" s="20"/>
      <c r="C78" s="30"/>
      <c r="D78" s="30"/>
    </row>
    <row r="79" spans="1:4" ht="20.25" x14ac:dyDescent="0.25">
      <c r="A79" s="99"/>
      <c r="B79" s="20"/>
      <c r="C79" s="30"/>
      <c r="D79" s="30"/>
    </row>
    <row r="80" spans="1:4" ht="20.25" x14ac:dyDescent="0.25">
      <c r="A80" s="99"/>
      <c r="B80" s="20"/>
      <c r="C80" s="30"/>
      <c r="D80" s="30"/>
    </row>
    <row r="81" spans="1:4" ht="20.25" x14ac:dyDescent="0.25">
      <c r="A81" s="99"/>
      <c r="B81" s="20"/>
      <c r="C81" s="30"/>
      <c r="D81" s="30"/>
    </row>
    <row r="82" spans="1:4" ht="20.25" x14ac:dyDescent="0.25">
      <c r="A82" s="99"/>
      <c r="B82" s="20"/>
      <c r="C82" s="30"/>
      <c r="D82" s="30"/>
    </row>
    <row r="83" spans="1:4" ht="20.25" x14ac:dyDescent="0.25">
      <c r="A83" s="99"/>
      <c r="B83" s="20"/>
      <c r="C83" s="30"/>
      <c r="D83" s="30"/>
    </row>
    <row r="84" spans="1:4" ht="20.25" x14ac:dyDescent="0.25">
      <c r="A84" s="99"/>
      <c r="B84" s="20"/>
      <c r="C84" s="30"/>
      <c r="D84" s="30"/>
    </row>
    <row r="85" spans="1:4" ht="20.25" x14ac:dyDescent="0.25">
      <c r="A85" s="99"/>
      <c r="B85" s="20"/>
      <c r="C85" s="30"/>
      <c r="D85" s="30"/>
    </row>
    <row r="86" spans="1:4" ht="20.25" x14ac:dyDescent="0.25">
      <c r="A86" s="99"/>
      <c r="B86" s="20"/>
      <c r="C86" s="30"/>
      <c r="D86" s="30"/>
    </row>
    <row r="87" spans="1:4" ht="20.25" x14ac:dyDescent="0.25">
      <c r="A87" s="99"/>
      <c r="B87" s="20"/>
      <c r="C87" s="30"/>
      <c r="D87" s="30"/>
    </row>
    <row r="88" spans="1:4" ht="20.25" x14ac:dyDescent="0.25">
      <c r="A88" s="99"/>
      <c r="B88" s="20"/>
      <c r="C88" s="30"/>
      <c r="D88" s="30"/>
    </row>
    <row r="89" spans="1:4" ht="20.25" x14ac:dyDescent="0.25">
      <c r="A89" s="99"/>
      <c r="B89" s="20"/>
      <c r="C89" s="30"/>
      <c r="D89" s="30"/>
    </row>
    <row r="90" spans="1:4" ht="20.25" x14ac:dyDescent="0.25">
      <c r="A90" s="99"/>
      <c r="B90" s="20"/>
      <c r="C90" s="30"/>
      <c r="D90" s="30"/>
    </row>
    <row r="91" spans="1:4" ht="20.25" x14ac:dyDescent="0.25">
      <c r="A91" s="99"/>
      <c r="B91" s="20"/>
      <c r="C91" s="30"/>
      <c r="D91" s="30"/>
    </row>
    <row r="92" spans="1:4" ht="20.25" x14ac:dyDescent="0.25">
      <c r="A92" s="99"/>
      <c r="B92" s="20"/>
      <c r="C92" s="30"/>
      <c r="D92" s="30"/>
    </row>
    <row r="93" spans="1:4" ht="20.25" x14ac:dyDescent="0.25">
      <c r="A93" s="99"/>
      <c r="B93" s="20"/>
      <c r="C93" s="30"/>
      <c r="D93" s="30"/>
    </row>
    <row r="94" spans="1:4" ht="20.25" x14ac:dyDescent="0.25">
      <c r="A94" s="99"/>
      <c r="B94" s="20"/>
      <c r="C94" s="30"/>
      <c r="D94" s="30"/>
    </row>
    <row r="95" spans="1:4" ht="20.25" x14ac:dyDescent="0.25">
      <c r="A95" s="99"/>
      <c r="B95" s="20"/>
      <c r="C95" s="30"/>
      <c r="D95" s="30"/>
    </row>
    <row r="96" spans="1:4" ht="20.25" x14ac:dyDescent="0.25">
      <c r="A96" s="99"/>
      <c r="B96" s="20"/>
      <c r="C96" s="30"/>
      <c r="D96" s="30"/>
    </row>
    <row r="97" spans="1:4" ht="20.25" x14ac:dyDescent="0.25">
      <c r="A97" s="99"/>
      <c r="B97" s="20"/>
      <c r="C97" s="30"/>
      <c r="D97" s="30"/>
    </row>
    <row r="98" spans="1:4" ht="20.25" x14ac:dyDescent="0.25">
      <c r="A98" s="99"/>
      <c r="B98" s="20"/>
      <c r="C98" s="30"/>
      <c r="D98" s="30"/>
    </row>
    <row r="99" spans="1:4" ht="20.25" x14ac:dyDescent="0.25">
      <c r="A99" s="99"/>
      <c r="B99" s="20"/>
      <c r="C99" s="30"/>
      <c r="D99" s="30"/>
    </row>
    <row r="100" spans="1:4" ht="20.25" x14ac:dyDescent="0.25">
      <c r="A100" s="99"/>
      <c r="B100" s="20"/>
      <c r="C100" s="30"/>
      <c r="D100" s="30"/>
    </row>
    <row r="101" spans="1:4" ht="20.25" x14ac:dyDescent="0.25">
      <c r="A101" s="99"/>
      <c r="B101" s="20"/>
      <c r="C101" s="30"/>
      <c r="D101" s="30"/>
    </row>
    <row r="102" spans="1:4" ht="20.25" x14ac:dyDescent="0.25">
      <c r="A102" s="99"/>
      <c r="B102" s="20"/>
      <c r="C102" s="30"/>
      <c r="D102" s="30"/>
    </row>
    <row r="103" spans="1:4" ht="20.25" x14ac:dyDescent="0.25">
      <c r="A103" s="99"/>
      <c r="B103" s="20"/>
      <c r="C103" s="30"/>
      <c r="D103" s="30"/>
    </row>
    <row r="104" spans="1:4" ht="20.25" x14ac:dyDescent="0.25">
      <c r="A104" s="99"/>
      <c r="B104" s="20"/>
      <c r="C104" s="30"/>
      <c r="D104" s="30"/>
    </row>
    <row r="105" spans="1:4" ht="20.25" x14ac:dyDescent="0.25">
      <c r="A105" s="99"/>
      <c r="B105" s="20"/>
      <c r="C105" s="30"/>
      <c r="D105" s="30"/>
    </row>
    <row r="106" spans="1:4" ht="20.25" x14ac:dyDescent="0.25">
      <c r="A106" s="99"/>
      <c r="B106" s="20"/>
      <c r="C106" s="30"/>
      <c r="D106" s="30"/>
    </row>
    <row r="107" spans="1:4" ht="20.25" x14ac:dyDescent="0.25">
      <c r="A107" s="99"/>
      <c r="B107" s="20"/>
      <c r="C107" s="30"/>
      <c r="D107" s="30"/>
    </row>
    <row r="108" spans="1:4" ht="20.25" x14ac:dyDescent="0.25">
      <c r="A108" s="99"/>
      <c r="B108" s="20"/>
      <c r="C108" s="30"/>
      <c r="D108" s="30"/>
    </row>
    <row r="109" spans="1:4" ht="20.25" x14ac:dyDescent="0.25">
      <c r="A109" s="99"/>
      <c r="B109" s="20"/>
      <c r="C109" s="30"/>
      <c r="D109" s="30"/>
    </row>
    <row r="110" spans="1:4" ht="20.25" x14ac:dyDescent="0.25">
      <c r="A110" s="99"/>
      <c r="B110" s="20"/>
      <c r="C110" s="30"/>
      <c r="D110" s="30"/>
    </row>
    <row r="111" spans="1:4" ht="20.25" x14ac:dyDescent="0.25">
      <c r="A111" s="99"/>
      <c r="B111" s="20"/>
      <c r="C111" s="30"/>
      <c r="D111" s="30"/>
    </row>
    <row r="112" spans="1:4" ht="20.25" x14ac:dyDescent="0.25">
      <c r="A112" s="99"/>
      <c r="B112" s="20"/>
      <c r="C112" s="30"/>
      <c r="D112" s="30"/>
    </row>
    <row r="113" spans="1:4" ht="20.25" x14ac:dyDescent="0.25">
      <c r="A113" s="99"/>
      <c r="B113" s="20"/>
      <c r="C113" s="30"/>
      <c r="D113" s="30"/>
    </row>
    <row r="114" spans="1:4" ht="20.25" x14ac:dyDescent="0.25">
      <c r="A114" s="99"/>
      <c r="B114" s="20"/>
      <c r="C114" s="30"/>
      <c r="D114" s="30"/>
    </row>
    <row r="115" spans="1:4" ht="20.25" x14ac:dyDescent="0.25">
      <c r="A115" s="99"/>
      <c r="B115" s="20"/>
      <c r="C115" s="30"/>
      <c r="D115" s="30"/>
    </row>
    <row r="116" spans="1:4" ht="20.25" x14ac:dyDescent="0.25">
      <c r="A116" s="99"/>
      <c r="B116" s="20"/>
      <c r="C116" s="30"/>
      <c r="D116" s="30"/>
    </row>
    <row r="117" spans="1:4" ht="20.25" x14ac:dyDescent="0.25">
      <c r="A117" s="99"/>
      <c r="B117" s="20"/>
      <c r="C117" s="30"/>
      <c r="D117" s="30"/>
    </row>
    <row r="118" spans="1:4" ht="20.25" x14ac:dyDescent="0.25">
      <c r="A118" s="99"/>
      <c r="B118" s="20"/>
      <c r="C118" s="30"/>
      <c r="D118" s="30"/>
    </row>
    <row r="119" spans="1:4" ht="20.25" x14ac:dyDescent="0.25">
      <c r="A119" s="99"/>
      <c r="B119" s="20"/>
      <c r="C119" s="30"/>
      <c r="D119" s="30"/>
    </row>
    <row r="120" spans="1:4" ht="20.25" x14ac:dyDescent="0.25">
      <c r="A120" s="99"/>
      <c r="B120" s="20"/>
      <c r="C120" s="30"/>
      <c r="D120" s="30"/>
    </row>
    <row r="121" spans="1:4" ht="20.25" x14ac:dyDescent="0.25">
      <c r="A121" s="99"/>
      <c r="B121" s="20"/>
      <c r="C121" s="30"/>
      <c r="D121" s="30"/>
    </row>
    <row r="122" spans="1:4" ht="20.25" x14ac:dyDescent="0.25">
      <c r="A122" s="99"/>
      <c r="B122" s="20"/>
      <c r="C122" s="30"/>
      <c r="D122" s="30"/>
    </row>
    <row r="123" spans="1:4" ht="20.25" x14ac:dyDescent="0.25">
      <c r="A123" s="99"/>
      <c r="B123" s="20"/>
      <c r="C123" s="30"/>
      <c r="D123" s="30"/>
    </row>
    <row r="124" spans="1:4" ht="20.25" x14ac:dyDescent="0.25">
      <c r="A124" s="99"/>
      <c r="B124" s="20"/>
      <c r="C124" s="30"/>
      <c r="D124" s="30"/>
    </row>
    <row r="125" spans="1:4" ht="20.25" x14ac:dyDescent="0.25">
      <c r="A125" s="99"/>
      <c r="B125" s="20"/>
      <c r="C125" s="30"/>
      <c r="D125" s="30"/>
    </row>
    <row r="126" spans="1:4" ht="20.25" x14ac:dyDescent="0.25">
      <c r="A126" s="99"/>
      <c r="B126" s="20"/>
      <c r="C126" s="30"/>
      <c r="D126" s="30"/>
    </row>
    <row r="127" spans="1:4" ht="20.25" x14ac:dyDescent="0.25">
      <c r="A127" s="99"/>
      <c r="B127" s="20"/>
      <c r="C127" s="30"/>
      <c r="D127" s="30"/>
    </row>
    <row r="128" spans="1:4" ht="20.25" x14ac:dyDescent="0.25">
      <c r="A128" s="99"/>
      <c r="B128" s="20"/>
      <c r="C128" s="30"/>
      <c r="D128" s="30"/>
    </row>
    <row r="129" spans="1:4" ht="20.25" x14ac:dyDescent="0.25">
      <c r="A129" s="99"/>
      <c r="B129" s="20"/>
      <c r="C129" s="30"/>
      <c r="D129" s="30"/>
    </row>
    <row r="130" spans="1:4" ht="20.25" x14ac:dyDescent="0.25">
      <c r="A130" s="99"/>
      <c r="B130" s="20"/>
      <c r="C130" s="30"/>
      <c r="D130" s="30"/>
    </row>
    <row r="131" spans="1:4" ht="20.25" x14ac:dyDescent="0.25">
      <c r="A131" s="99"/>
      <c r="B131" s="20"/>
      <c r="C131" s="30"/>
      <c r="D131" s="30"/>
    </row>
    <row r="132" spans="1:4" ht="20.25" x14ac:dyDescent="0.25">
      <c r="A132" s="99"/>
      <c r="B132" s="20"/>
      <c r="C132" s="30"/>
      <c r="D132" s="30"/>
    </row>
    <row r="133" spans="1:4" ht="20.25" x14ac:dyDescent="0.25">
      <c r="A133" s="99"/>
      <c r="B133" s="20"/>
      <c r="C133" s="30"/>
      <c r="D133" s="30"/>
    </row>
    <row r="134" spans="1:4" ht="20.25" x14ac:dyDescent="0.25">
      <c r="A134" s="99"/>
      <c r="B134" s="20"/>
      <c r="C134" s="30"/>
      <c r="D134" s="30"/>
    </row>
    <row r="135" spans="1:4" ht="20.25" x14ac:dyDescent="0.25">
      <c r="A135" s="99"/>
      <c r="B135" s="20"/>
      <c r="C135" s="30"/>
      <c r="D135" s="30"/>
    </row>
    <row r="136" spans="1:4" ht="20.25" x14ac:dyDescent="0.25">
      <c r="A136" s="99"/>
      <c r="B136" s="20"/>
      <c r="C136" s="30"/>
      <c r="D136" s="30"/>
    </row>
    <row r="137" spans="1:4" ht="20.25" x14ac:dyDescent="0.25">
      <c r="A137" s="99"/>
      <c r="B137" s="20"/>
      <c r="C137" s="30"/>
      <c r="D137" s="30"/>
    </row>
    <row r="138" spans="1:4" ht="20.25" x14ac:dyDescent="0.25">
      <c r="A138" s="99"/>
      <c r="B138" s="20"/>
      <c r="C138" s="30"/>
      <c r="D138" s="30"/>
    </row>
    <row r="139" spans="1:4" ht="20.25" x14ac:dyDescent="0.25">
      <c r="A139" s="99"/>
      <c r="B139" s="20"/>
      <c r="C139" s="30"/>
      <c r="D139" s="30"/>
    </row>
    <row r="140" spans="1:4" ht="20.25" x14ac:dyDescent="0.25">
      <c r="A140" s="99"/>
      <c r="B140" s="20"/>
      <c r="C140" s="30"/>
      <c r="D140" s="30"/>
    </row>
    <row r="141" spans="1:4" ht="20.25" x14ac:dyDescent="0.25">
      <c r="A141" s="99"/>
      <c r="B141" s="20"/>
      <c r="C141" s="30"/>
      <c r="D141" s="30"/>
    </row>
    <row r="142" spans="1:4" ht="20.25" x14ac:dyDescent="0.25">
      <c r="A142" s="99"/>
      <c r="B142" s="20"/>
      <c r="C142" s="30"/>
      <c r="D142" s="30"/>
    </row>
    <row r="143" spans="1:4" ht="20.25" x14ac:dyDescent="0.25">
      <c r="A143" s="99"/>
      <c r="B143" s="20"/>
      <c r="C143" s="30"/>
      <c r="D143" s="30"/>
    </row>
    <row r="144" spans="1:4" ht="20.25" x14ac:dyDescent="0.25">
      <c r="A144" s="99"/>
      <c r="B144" s="20"/>
      <c r="C144" s="30"/>
      <c r="D144" s="30"/>
    </row>
    <row r="145" spans="1:4" ht="20.25" x14ac:dyDescent="0.25">
      <c r="A145" s="99"/>
      <c r="B145" s="20"/>
      <c r="C145" s="30"/>
      <c r="D145" s="30"/>
    </row>
    <row r="146" spans="1:4" ht="20.25" x14ac:dyDescent="0.25">
      <c r="A146" s="99"/>
      <c r="B146" s="20"/>
      <c r="C146" s="30"/>
      <c r="D146" s="30"/>
    </row>
    <row r="147" spans="1:4" ht="20.25" x14ac:dyDescent="0.25">
      <c r="A147" s="99"/>
      <c r="B147" s="20"/>
      <c r="C147" s="30"/>
      <c r="D147" s="30"/>
    </row>
    <row r="148" spans="1:4" ht="20.25" x14ac:dyDescent="0.25">
      <c r="A148" s="99"/>
      <c r="B148" s="20"/>
      <c r="C148" s="30"/>
      <c r="D148" s="30"/>
    </row>
    <row r="149" spans="1:4" ht="20.25" x14ac:dyDescent="0.25">
      <c r="A149" s="99"/>
      <c r="B149" s="20"/>
      <c r="C149" s="30"/>
      <c r="D149" s="30"/>
    </row>
    <row r="150" spans="1:4" ht="20.25" x14ac:dyDescent="0.25">
      <c r="A150" s="99"/>
      <c r="B150" s="20"/>
      <c r="C150" s="30"/>
      <c r="D150" s="30"/>
    </row>
    <row r="151" spans="1:4" ht="20.25" x14ac:dyDescent="0.25">
      <c r="A151" s="99"/>
      <c r="B151" s="20"/>
      <c r="C151" s="30"/>
      <c r="D151" s="30"/>
    </row>
    <row r="152" spans="1:4" ht="20.25" x14ac:dyDescent="0.25">
      <c r="A152" s="99"/>
      <c r="B152" s="20"/>
      <c r="C152" s="30"/>
      <c r="D152" s="30"/>
    </row>
    <row r="153" spans="1:4" ht="20.25" x14ac:dyDescent="0.25">
      <c r="A153" s="99"/>
      <c r="B153" s="20"/>
      <c r="C153" s="30"/>
      <c r="D153" s="30"/>
    </row>
    <row r="154" spans="1:4" ht="20.25" x14ac:dyDescent="0.25">
      <c r="A154" s="99"/>
      <c r="B154" s="20"/>
      <c r="C154" s="30"/>
      <c r="D154" s="30"/>
    </row>
    <row r="155" spans="1:4" ht="20.25" x14ac:dyDescent="0.25">
      <c r="A155" s="99"/>
      <c r="B155" s="20"/>
      <c r="C155" s="30"/>
      <c r="D155" s="30"/>
    </row>
    <row r="156" spans="1:4" ht="20.25" x14ac:dyDescent="0.25">
      <c r="A156" s="99"/>
      <c r="B156" s="20"/>
      <c r="C156" s="30"/>
      <c r="D156" s="30"/>
    </row>
    <row r="157" spans="1:4" ht="20.25" x14ac:dyDescent="0.25">
      <c r="A157" s="99"/>
      <c r="B157" s="20"/>
      <c r="C157" s="30"/>
      <c r="D157" s="30"/>
    </row>
    <row r="158" spans="1:4" ht="20.25" x14ac:dyDescent="0.25">
      <c r="A158" s="99"/>
      <c r="B158" s="20"/>
      <c r="C158" s="30"/>
      <c r="D158" s="30"/>
    </row>
    <row r="159" spans="1:4" ht="20.25" x14ac:dyDescent="0.25">
      <c r="A159" s="99"/>
      <c r="B159" s="20"/>
      <c r="C159" s="30"/>
      <c r="D159" s="30"/>
    </row>
    <row r="160" spans="1:4" ht="20.25" x14ac:dyDescent="0.25">
      <c r="A160" s="99"/>
      <c r="B160" s="20"/>
      <c r="C160" s="30"/>
      <c r="D160" s="30"/>
    </row>
    <row r="161" spans="1:4" ht="20.25" x14ac:dyDescent="0.25">
      <c r="A161" s="99"/>
      <c r="B161" s="20"/>
      <c r="C161" s="30"/>
      <c r="D161" s="30"/>
    </row>
    <row r="162" spans="1:4" ht="20.25" x14ac:dyDescent="0.25">
      <c r="A162" s="99"/>
      <c r="B162" s="20"/>
      <c r="C162" s="30"/>
      <c r="D162" s="30"/>
    </row>
    <row r="163" spans="1:4" ht="20.25" x14ac:dyDescent="0.25">
      <c r="A163" s="99"/>
      <c r="B163" s="20"/>
      <c r="C163" s="30"/>
      <c r="D163" s="30"/>
    </row>
    <row r="164" spans="1:4" ht="20.25" x14ac:dyDescent="0.25">
      <c r="A164" s="99"/>
      <c r="B164" s="20"/>
      <c r="C164" s="30"/>
      <c r="D164" s="30"/>
    </row>
    <row r="165" spans="1:4" ht="20.25" x14ac:dyDescent="0.25">
      <c r="A165" s="99"/>
      <c r="B165" s="20"/>
      <c r="C165" s="30"/>
      <c r="D165" s="30"/>
    </row>
    <row r="166" spans="1:4" ht="20.25" x14ac:dyDescent="0.25">
      <c r="A166" s="99"/>
      <c r="B166" s="20"/>
      <c r="C166" s="30"/>
      <c r="D166" s="30"/>
    </row>
    <row r="167" spans="1:4" ht="20.25" x14ac:dyDescent="0.25">
      <c r="A167" s="99"/>
      <c r="B167" s="20"/>
      <c r="C167" s="30"/>
      <c r="D167" s="30"/>
    </row>
    <row r="168" spans="1:4" ht="20.25" x14ac:dyDescent="0.25">
      <c r="A168" s="99"/>
      <c r="B168" s="20"/>
      <c r="C168" s="30"/>
      <c r="D168" s="30"/>
    </row>
    <row r="169" spans="1:4" ht="20.25" x14ac:dyDescent="0.25">
      <c r="A169" s="99"/>
      <c r="B169" s="20"/>
      <c r="C169" s="30"/>
      <c r="D169" s="30"/>
    </row>
    <row r="170" spans="1:4" ht="20.25" x14ac:dyDescent="0.25">
      <c r="A170" s="99"/>
      <c r="B170" s="20"/>
      <c r="C170" s="30"/>
      <c r="D170" s="30"/>
    </row>
    <row r="171" spans="1:4" ht="20.25" x14ac:dyDescent="0.25">
      <c r="A171" s="99"/>
      <c r="B171" s="20"/>
      <c r="C171" s="30"/>
      <c r="D171" s="30"/>
    </row>
    <row r="172" spans="1:4" ht="20.25" x14ac:dyDescent="0.25">
      <c r="A172" s="99"/>
      <c r="B172" s="20"/>
      <c r="C172" s="30"/>
      <c r="D172" s="30"/>
    </row>
    <row r="173" spans="1:4" ht="20.25" x14ac:dyDescent="0.25">
      <c r="A173" s="99"/>
      <c r="B173" s="20"/>
      <c r="C173" s="30"/>
      <c r="D173" s="30"/>
    </row>
    <row r="174" spans="1:4" ht="20.25" x14ac:dyDescent="0.25">
      <c r="A174" s="99"/>
      <c r="B174" s="20"/>
      <c r="C174" s="30"/>
      <c r="D174" s="30"/>
    </row>
    <row r="175" spans="1:4" ht="20.25" x14ac:dyDescent="0.25">
      <c r="A175" s="99"/>
      <c r="B175" s="20"/>
      <c r="C175" s="30"/>
      <c r="D175" s="30"/>
    </row>
    <row r="176" spans="1:4" ht="20.25" x14ac:dyDescent="0.25">
      <c r="A176" s="99"/>
      <c r="B176" s="20"/>
      <c r="C176" s="30"/>
      <c r="D176" s="30"/>
    </row>
    <row r="177" spans="1:4" ht="20.25" x14ac:dyDescent="0.25">
      <c r="A177" s="99"/>
      <c r="B177" s="20"/>
      <c r="C177" s="30"/>
      <c r="D177" s="30"/>
    </row>
    <row r="178" spans="1:4" ht="20.25" x14ac:dyDescent="0.25">
      <c r="A178" s="99"/>
      <c r="B178" s="20"/>
      <c r="C178" s="30"/>
      <c r="D178" s="30"/>
    </row>
    <row r="179" spans="1:4" ht="20.25" x14ac:dyDescent="0.25">
      <c r="A179" s="99"/>
      <c r="B179" s="20"/>
      <c r="C179" s="30"/>
      <c r="D179" s="30"/>
    </row>
    <row r="180" spans="1:4" ht="20.25" x14ac:dyDescent="0.25">
      <c r="A180" s="99"/>
      <c r="B180" s="20"/>
      <c r="C180" s="30"/>
      <c r="D180" s="30"/>
    </row>
    <row r="181" spans="1:4" ht="20.25" x14ac:dyDescent="0.25">
      <c r="A181" s="99"/>
      <c r="B181" s="20"/>
      <c r="C181" s="30"/>
      <c r="D181" s="30"/>
    </row>
    <row r="182" spans="1:4" ht="20.25" x14ac:dyDescent="0.25">
      <c r="A182" s="99"/>
      <c r="B182" s="20"/>
      <c r="C182" s="30"/>
      <c r="D182" s="30"/>
    </row>
    <row r="183" spans="1:4" ht="20.25" x14ac:dyDescent="0.25">
      <c r="A183" s="99"/>
      <c r="B183" s="20"/>
      <c r="C183" s="30"/>
      <c r="D183" s="30"/>
    </row>
    <row r="184" spans="1:4" ht="20.25" x14ac:dyDescent="0.25">
      <c r="A184" s="99"/>
      <c r="B184" s="20"/>
      <c r="C184" s="30"/>
      <c r="D184" s="30"/>
    </row>
    <row r="185" spans="1:4" ht="20.25" x14ac:dyDescent="0.25">
      <c r="A185" s="99"/>
      <c r="B185" s="20"/>
      <c r="C185" s="30"/>
      <c r="D185" s="30"/>
    </row>
    <row r="186" spans="1:4" ht="20.25" x14ac:dyDescent="0.25">
      <c r="A186" s="99"/>
      <c r="B186" s="20"/>
      <c r="C186" s="30"/>
      <c r="D186" s="30"/>
    </row>
    <row r="187" spans="1:4" ht="20.25" x14ac:dyDescent="0.25">
      <c r="A187" s="99"/>
      <c r="B187" s="20"/>
      <c r="C187" s="30"/>
      <c r="D187" s="30"/>
    </row>
    <row r="188" spans="1:4" ht="20.25" x14ac:dyDescent="0.25">
      <c r="A188" s="99"/>
      <c r="B188" s="20"/>
      <c r="C188" s="30"/>
      <c r="D188" s="30"/>
    </row>
    <row r="189" spans="1:4" ht="20.25" x14ac:dyDescent="0.25">
      <c r="A189" s="99"/>
      <c r="B189" s="20"/>
      <c r="C189" s="30"/>
      <c r="D189" s="30"/>
    </row>
    <row r="190" spans="1:4" ht="20.25" x14ac:dyDescent="0.25">
      <c r="A190" s="99"/>
      <c r="B190" s="20"/>
      <c r="C190" s="30"/>
      <c r="D190" s="30"/>
    </row>
    <row r="191" spans="1:4" ht="20.25" x14ac:dyDescent="0.25">
      <c r="A191" s="99"/>
      <c r="B191" s="20"/>
      <c r="C191" s="30"/>
      <c r="D191" s="30"/>
    </row>
    <row r="192" spans="1:4" ht="20.25" x14ac:dyDescent="0.25">
      <c r="A192" s="99"/>
      <c r="B192" s="20"/>
      <c r="C192" s="30"/>
      <c r="D192" s="30"/>
    </row>
    <row r="193" spans="1:4" ht="20.25" x14ac:dyDescent="0.25">
      <c r="A193" s="99"/>
      <c r="B193" s="20"/>
      <c r="C193" s="30"/>
      <c r="D193" s="30"/>
    </row>
    <row r="194" spans="1:4" ht="20.25" x14ac:dyDescent="0.25">
      <c r="A194" s="99"/>
      <c r="B194" s="20"/>
      <c r="C194" s="30"/>
      <c r="D194" s="30"/>
    </row>
    <row r="195" spans="1:4" ht="20.25" x14ac:dyDescent="0.25">
      <c r="A195" s="99"/>
      <c r="B195" s="20"/>
      <c r="C195" s="30"/>
      <c r="D195" s="30"/>
    </row>
    <row r="196" spans="1:4" ht="20.25" x14ac:dyDescent="0.25">
      <c r="A196" s="99"/>
      <c r="B196" s="20"/>
      <c r="C196" s="30"/>
      <c r="D196" s="30"/>
    </row>
    <row r="197" spans="1:4" ht="20.25" x14ac:dyDescent="0.25">
      <c r="A197" s="99"/>
      <c r="B197" s="20"/>
      <c r="C197" s="30"/>
      <c r="D197" s="30"/>
    </row>
    <row r="198" spans="1:4" ht="20.25" x14ac:dyDescent="0.25">
      <c r="A198" s="99"/>
      <c r="B198" s="20"/>
      <c r="C198" s="30"/>
      <c r="D198" s="30"/>
    </row>
    <row r="199" spans="1:4" ht="20.25" x14ac:dyDescent="0.25">
      <c r="A199" s="99"/>
      <c r="B199" s="20"/>
      <c r="C199" s="30"/>
      <c r="D199" s="30"/>
    </row>
    <row r="200" spans="1:4" ht="20.25" x14ac:dyDescent="0.25">
      <c r="A200" s="99"/>
      <c r="B200" s="20"/>
      <c r="C200" s="30"/>
      <c r="D200" s="30"/>
    </row>
    <row r="201" spans="1:4" ht="20.25" x14ac:dyDescent="0.25">
      <c r="A201" s="99"/>
      <c r="B201" s="20"/>
      <c r="C201" s="30"/>
      <c r="D201" s="30"/>
    </row>
    <row r="202" spans="1:4" ht="20.25" x14ac:dyDescent="0.25">
      <c r="A202" s="99"/>
      <c r="B202" s="20"/>
      <c r="C202" s="30"/>
      <c r="D202" s="30"/>
    </row>
    <row r="203" spans="1:4" ht="20.25" x14ac:dyDescent="0.25">
      <c r="A203" s="99"/>
      <c r="B203" s="20"/>
      <c r="C203" s="30"/>
      <c r="D203" s="30"/>
    </row>
    <row r="204" spans="1:4" ht="20.25" x14ac:dyDescent="0.25">
      <c r="A204" s="99"/>
      <c r="B204" s="20"/>
      <c r="C204" s="30"/>
      <c r="D204" s="30"/>
    </row>
    <row r="205" spans="1:4" ht="20.25" x14ac:dyDescent="0.25">
      <c r="A205" s="99"/>
      <c r="B205" s="20"/>
      <c r="C205" s="30"/>
      <c r="D205" s="30"/>
    </row>
    <row r="206" spans="1:4" ht="20.25" x14ac:dyDescent="0.25">
      <c r="A206" s="99"/>
      <c r="B206" s="20"/>
      <c r="C206" s="30"/>
      <c r="D206" s="30"/>
    </row>
    <row r="207" spans="1:4" ht="20.25" x14ac:dyDescent="0.25">
      <c r="A207" s="99"/>
      <c r="B207" s="20"/>
      <c r="C207" s="30"/>
      <c r="D207" s="30"/>
    </row>
    <row r="208" spans="1:4" x14ac:dyDescent="0.25">
      <c r="A208" s="79"/>
      <c r="B208" s="20"/>
      <c r="C208" s="20"/>
      <c r="D208" s="20"/>
    </row>
    <row r="209" spans="1:8" ht="20.25" x14ac:dyDescent="0.25">
      <c r="A209" s="79"/>
      <c r="B209" s="26" t="s">
        <v>153</v>
      </c>
      <c r="C209" s="26" t="s">
        <v>154</v>
      </c>
      <c r="D209" s="29" t="s">
        <v>153</v>
      </c>
      <c r="E209" s="29" t="s">
        <v>154</v>
      </c>
    </row>
    <row r="210" spans="1:8" ht="21" x14ac:dyDescent="0.35">
      <c r="A210" s="79"/>
      <c r="B210" s="27" t="s">
        <v>155</v>
      </c>
      <c r="C210" s="27" t="s">
        <v>156</v>
      </c>
      <c r="D210" t="s">
        <v>155</v>
      </c>
      <c r="F210" t="str">
        <f>IF(NOT(ISBLANK(D210)),D210,IF(NOT(ISBLANK(E210)),"     "&amp;E210,FALSE))</f>
        <v>Afectación Económica o presupuestal</v>
      </c>
      <c r="G210" t="s">
        <v>155</v>
      </c>
      <c r="H210" t="str">
        <f>IF(NOT(ISERROR(MATCH(G210,_xlfn.ANCHORARRAY(B221),0))),F228&amp;"Por favor no seleccionar los criterios de impacto",G210)</f>
        <v>❌Por favor no seleccionar los criterios de impacto</v>
      </c>
    </row>
    <row r="211" spans="1:8" ht="21" x14ac:dyDescent="0.35">
      <c r="A211" s="79"/>
      <c r="B211" s="27" t="s">
        <v>155</v>
      </c>
      <c r="C211" s="27" t="s">
        <v>128</v>
      </c>
      <c r="E211" t="s">
        <v>156</v>
      </c>
      <c r="F211" t="str">
        <f t="shared" ref="F211:F221" si="0">IF(NOT(ISBLANK(D211)),D211,IF(NOT(ISBLANK(E211)),"     "&amp;E211,FALSE))</f>
        <v xml:space="preserve">     Afectación menor a 10 SMLMV .</v>
      </c>
    </row>
    <row r="212" spans="1:8" ht="21" x14ac:dyDescent="0.35">
      <c r="A212" s="79"/>
      <c r="B212" s="27" t="s">
        <v>155</v>
      </c>
      <c r="C212" s="27" t="s">
        <v>131</v>
      </c>
      <c r="E212" t="s">
        <v>128</v>
      </c>
      <c r="F212" t="str">
        <f t="shared" si="0"/>
        <v xml:space="preserve">     Entre 10 y 50 SMLMV </v>
      </c>
    </row>
    <row r="213" spans="1:8" ht="21" x14ac:dyDescent="0.35">
      <c r="A213" s="79"/>
      <c r="B213" s="27" t="s">
        <v>155</v>
      </c>
      <c r="C213" s="27" t="s">
        <v>135</v>
      </c>
      <c r="E213" t="s">
        <v>131</v>
      </c>
      <c r="F213" t="str">
        <f t="shared" si="0"/>
        <v xml:space="preserve">     Entre 50 y 100 SMLMV </v>
      </c>
    </row>
    <row r="214" spans="1:8" ht="21" x14ac:dyDescent="0.35">
      <c r="A214" s="79"/>
      <c r="B214" s="27" t="s">
        <v>155</v>
      </c>
      <c r="C214" s="27" t="s">
        <v>139</v>
      </c>
      <c r="E214" t="s">
        <v>135</v>
      </c>
      <c r="F214" t="str">
        <f t="shared" si="0"/>
        <v xml:space="preserve">     Entre 100 y 500 SMLMV </v>
      </c>
    </row>
    <row r="215" spans="1:8" ht="21" x14ac:dyDescent="0.35">
      <c r="A215" s="79"/>
      <c r="B215" s="27" t="s">
        <v>121</v>
      </c>
      <c r="C215" s="27" t="s">
        <v>125</v>
      </c>
      <c r="E215" t="s">
        <v>139</v>
      </c>
      <c r="F215" t="str">
        <f t="shared" si="0"/>
        <v xml:space="preserve">     Mayor a 500 SMLMV </v>
      </c>
    </row>
    <row r="216" spans="1:8" ht="21" x14ac:dyDescent="0.35">
      <c r="A216" s="79"/>
      <c r="B216" s="27" t="s">
        <v>121</v>
      </c>
      <c r="C216" s="27" t="s">
        <v>129</v>
      </c>
      <c r="D216" t="s">
        <v>121</v>
      </c>
      <c r="F216" t="str">
        <f t="shared" si="0"/>
        <v>Pérdida Reputacional</v>
      </c>
    </row>
    <row r="217" spans="1:8" ht="21" x14ac:dyDescent="0.35">
      <c r="A217" s="79"/>
      <c r="B217" s="27" t="s">
        <v>121</v>
      </c>
      <c r="C217" s="27" t="s">
        <v>132</v>
      </c>
      <c r="E217" t="s">
        <v>125</v>
      </c>
      <c r="F217" t="str">
        <f t="shared" si="0"/>
        <v xml:space="preserve">     El riesgo afecta la imagen de alguna área de la organización</v>
      </c>
    </row>
    <row r="218" spans="1:8" ht="21" x14ac:dyDescent="0.35">
      <c r="A218" s="79"/>
      <c r="B218" s="27" t="s">
        <v>121</v>
      </c>
      <c r="C218" s="27" t="s">
        <v>136</v>
      </c>
      <c r="E218" t="s">
        <v>129</v>
      </c>
      <c r="F218" t="str">
        <f t="shared" si="0"/>
        <v xml:space="preserve">     El riesgo afecta la imagen de la entidad internamente, de conocimiento general, nivel interno, de junta dircetiva y accionistas y/o de provedores</v>
      </c>
    </row>
    <row r="219" spans="1:8" ht="21" x14ac:dyDescent="0.35">
      <c r="A219" s="79"/>
      <c r="B219" s="27" t="s">
        <v>121</v>
      </c>
      <c r="C219" s="27" t="s">
        <v>140</v>
      </c>
      <c r="E219" t="s">
        <v>132</v>
      </c>
      <c r="F219" t="str">
        <f t="shared" si="0"/>
        <v xml:space="preserve">     El riesgo afecta la imagen de la entidad con algunos usuarios de relevancia frente al logro de los objetivos</v>
      </c>
    </row>
    <row r="220" spans="1:8" x14ac:dyDescent="0.25">
      <c r="A220" s="79"/>
      <c r="B220" s="28"/>
      <c r="C220" s="28"/>
      <c r="E220" t="s">
        <v>136</v>
      </c>
      <c r="F220" t="str">
        <f t="shared" si="0"/>
        <v xml:space="preserve">     El riesgo afecta la imagen de de la entidad con efecto publicitario sostenido a nivel de sector administrativo, nivel departamental o municipal</v>
      </c>
    </row>
    <row r="221" spans="1:8" x14ac:dyDescent="0.25">
      <c r="A221" s="79"/>
      <c r="B221" s="28" t="str" cm="1">
        <f t="array" ref="B221:B223">_xlfn.UNIQUE(Tabla1[[#All],[Criterios]])</f>
        <v>Criterios</v>
      </c>
      <c r="C221" s="28"/>
      <c r="E221" t="s">
        <v>140</v>
      </c>
      <c r="F221" t="str">
        <f t="shared" si="0"/>
        <v xml:space="preserve">     El riesgo afecta la imagen de la entidad a nivel nacional, con efecto publicitarios sostenible a nivel país</v>
      </c>
    </row>
    <row r="222" spans="1:8" x14ac:dyDescent="0.25">
      <c r="A222" s="79"/>
      <c r="B222" s="28" t="str">
        <v>Afectación Económica o presupuestal</v>
      </c>
      <c r="C222" s="28"/>
      <c r="F222" t="s">
        <v>236</v>
      </c>
    </row>
    <row r="223" spans="1:8" x14ac:dyDescent="0.25">
      <c r="B223" s="28" t="str">
        <v>Pérdida Reputacional</v>
      </c>
      <c r="C223" s="28"/>
      <c r="F223" t="s">
        <v>237</v>
      </c>
    </row>
    <row r="224" spans="1:8" x14ac:dyDescent="0.25">
      <c r="B224" s="19"/>
      <c r="C224" s="19"/>
      <c r="F224" t="s">
        <v>238</v>
      </c>
    </row>
    <row r="225" spans="2:6" x14ac:dyDescent="0.25">
      <c r="B225" s="19"/>
      <c r="C225" s="19"/>
      <c r="F225" t="s">
        <v>239</v>
      </c>
    </row>
    <row r="226" spans="2:6" x14ac:dyDescent="0.25">
      <c r="B226" s="19"/>
      <c r="C226" s="19"/>
      <c r="F226" t="s">
        <v>240</v>
      </c>
    </row>
    <row r="227" spans="2:6" x14ac:dyDescent="0.25">
      <c r="B227" s="19"/>
      <c r="C227" s="19"/>
      <c r="D227" s="19"/>
      <c r="F227" t="s">
        <v>242</v>
      </c>
    </row>
    <row r="228" spans="2:6" x14ac:dyDescent="0.25">
      <c r="B228" s="19"/>
      <c r="C228" s="19"/>
      <c r="D228" s="19"/>
      <c r="F228" s="31" t="s">
        <v>157</v>
      </c>
    </row>
    <row r="229" spans="2:6" x14ac:dyDescent="0.25">
      <c r="B229" s="19"/>
      <c r="C229" s="19"/>
      <c r="D229" s="19"/>
      <c r="F229" s="31" t="s">
        <v>158</v>
      </c>
    </row>
    <row r="230" spans="2:6" x14ac:dyDescent="0.25">
      <c r="B230" s="19"/>
      <c r="C230" s="19"/>
      <c r="D230" s="19"/>
    </row>
    <row r="231" spans="2:6" x14ac:dyDescent="0.25">
      <c r="B231" s="19"/>
      <c r="C231" s="19"/>
      <c r="D231" s="19"/>
    </row>
    <row r="232" spans="2:6" x14ac:dyDescent="0.25">
      <c r="B232" s="19"/>
      <c r="C232" s="19"/>
      <c r="D232" s="19"/>
    </row>
  </sheetData>
  <mergeCells count="1">
    <mergeCell ref="B1:D1"/>
  </mergeCells>
  <dataValidations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F611-1DA3-4245-9FA1-19BCDBA48BFC}">
  <sheetPr>
    <tabColor theme="9" tint="-0.249977111117893"/>
  </sheetPr>
  <dimension ref="C2:J16"/>
  <sheetViews>
    <sheetView showGridLines="0" workbookViewId="0">
      <selection activeCell="G16" sqref="G16"/>
    </sheetView>
  </sheetViews>
  <sheetFormatPr baseColWidth="10" defaultRowHeight="15.75" x14ac:dyDescent="0.25"/>
  <cols>
    <col min="1" max="3" width="11.42578125" style="143"/>
    <col min="4" max="4" width="25.42578125" style="143" customWidth="1"/>
    <col min="5" max="5" width="22.5703125" style="143" customWidth="1"/>
    <col min="6" max="6" width="23.7109375" style="143" customWidth="1"/>
    <col min="7" max="7" width="45.85546875" style="143" customWidth="1"/>
    <col min="8" max="16384" width="11.42578125" style="143"/>
  </cols>
  <sheetData>
    <row r="2" spans="3:10" ht="16.5" thickBot="1" x14ac:dyDescent="0.3"/>
    <row r="3" spans="3:10" ht="32.25" thickBot="1" x14ac:dyDescent="0.3">
      <c r="C3" s="144" t="s">
        <v>243</v>
      </c>
      <c r="D3" s="145" t="s">
        <v>244</v>
      </c>
      <c r="E3" s="487" t="s">
        <v>245</v>
      </c>
      <c r="F3" s="488"/>
      <c r="G3" s="489"/>
      <c r="J3" s="155" t="s">
        <v>13</v>
      </c>
    </row>
    <row r="4" spans="3:10" x14ac:dyDescent="0.25">
      <c r="C4" s="483">
        <v>1</v>
      </c>
      <c r="D4" s="146" t="s">
        <v>9</v>
      </c>
      <c r="E4" s="147" t="s">
        <v>247</v>
      </c>
      <c r="F4" s="147" t="s">
        <v>249</v>
      </c>
      <c r="G4" s="157" t="s">
        <v>251</v>
      </c>
      <c r="H4" s="158"/>
      <c r="J4" s="156">
        <f>+H4*H6*H9*H11*H13*H15</f>
        <v>0</v>
      </c>
    </row>
    <row r="5" spans="3:10" ht="63.75" thickBot="1" x14ac:dyDescent="0.3">
      <c r="C5" s="484"/>
      <c r="D5" s="148" t="s">
        <v>246</v>
      </c>
      <c r="E5" s="149" t="s">
        <v>248</v>
      </c>
      <c r="F5" s="149" t="s">
        <v>250</v>
      </c>
      <c r="G5" s="151" t="s">
        <v>252</v>
      </c>
    </row>
    <row r="6" spans="3:10" x14ac:dyDescent="0.25">
      <c r="C6" s="483">
        <v>2</v>
      </c>
      <c r="D6" s="146" t="s">
        <v>91</v>
      </c>
      <c r="E6" s="147" t="s">
        <v>255</v>
      </c>
      <c r="F6" s="147" t="s">
        <v>257</v>
      </c>
      <c r="G6" s="157" t="s">
        <v>259</v>
      </c>
      <c r="H6" s="158"/>
    </row>
    <row r="7" spans="3:10" ht="78.75" x14ac:dyDescent="0.25">
      <c r="C7" s="490"/>
      <c r="D7" s="146" t="s">
        <v>253</v>
      </c>
      <c r="E7" s="147" t="s">
        <v>256</v>
      </c>
      <c r="F7" s="147" t="s">
        <v>258</v>
      </c>
      <c r="G7" s="147" t="s">
        <v>260</v>
      </c>
    </row>
    <row r="8" spans="3:10" ht="16.5" thickBot="1" x14ac:dyDescent="0.3">
      <c r="C8" s="484"/>
      <c r="D8" s="148" t="s">
        <v>254</v>
      </c>
      <c r="E8" s="150"/>
      <c r="F8" s="150"/>
      <c r="G8" s="150"/>
    </row>
    <row r="9" spans="3:10" x14ac:dyDescent="0.25">
      <c r="C9" s="483">
        <v>3</v>
      </c>
      <c r="D9" s="146" t="s">
        <v>261</v>
      </c>
      <c r="E9" s="147" t="s">
        <v>263</v>
      </c>
      <c r="F9" s="147" t="s">
        <v>265</v>
      </c>
      <c r="G9" s="157" t="s">
        <v>267</v>
      </c>
      <c r="H9" s="158"/>
    </row>
    <row r="10" spans="3:10" ht="63.75" thickBot="1" x14ac:dyDescent="0.3">
      <c r="C10" s="484"/>
      <c r="D10" s="148" t="s">
        <v>262</v>
      </c>
      <c r="E10" s="149" t="s">
        <v>264</v>
      </c>
      <c r="F10" s="149" t="s">
        <v>266</v>
      </c>
      <c r="G10" s="149" t="s">
        <v>268</v>
      </c>
    </row>
    <row r="11" spans="3:10" x14ac:dyDescent="0.25">
      <c r="C11" s="483">
        <v>4</v>
      </c>
      <c r="D11" s="152" t="s">
        <v>269</v>
      </c>
      <c r="E11" s="153" t="s">
        <v>271</v>
      </c>
      <c r="F11" s="153" t="s">
        <v>272</v>
      </c>
      <c r="G11" s="159" t="s">
        <v>273</v>
      </c>
      <c r="H11" s="158"/>
    </row>
    <row r="12" spans="3:10" ht="95.25" thickBot="1" x14ac:dyDescent="0.3">
      <c r="C12" s="484"/>
      <c r="D12" s="148" t="s">
        <v>270</v>
      </c>
      <c r="E12" s="149" t="s">
        <v>287</v>
      </c>
      <c r="F12" s="149" t="s">
        <v>286</v>
      </c>
      <c r="G12" s="149" t="s">
        <v>274</v>
      </c>
    </row>
    <row r="13" spans="3:10" x14ac:dyDescent="0.25">
      <c r="C13" s="490">
        <v>5</v>
      </c>
      <c r="D13" s="146" t="s">
        <v>275</v>
      </c>
      <c r="E13" s="147" t="s">
        <v>255</v>
      </c>
      <c r="F13" s="147" t="s">
        <v>278</v>
      </c>
      <c r="G13" s="157" t="s">
        <v>259</v>
      </c>
      <c r="H13" s="158"/>
    </row>
    <row r="14" spans="3:10" ht="79.5" thickBot="1" x14ac:dyDescent="0.3">
      <c r="C14" s="484"/>
      <c r="D14" s="148" t="s">
        <v>276</v>
      </c>
      <c r="E14" s="149" t="s">
        <v>277</v>
      </c>
      <c r="F14" s="149" t="s">
        <v>279</v>
      </c>
      <c r="G14" s="149" t="s">
        <v>280</v>
      </c>
    </row>
    <row r="15" spans="3:10" x14ac:dyDescent="0.25">
      <c r="C15" s="483">
        <v>6</v>
      </c>
      <c r="D15" s="146" t="s">
        <v>281</v>
      </c>
      <c r="E15" s="147" t="s">
        <v>255</v>
      </c>
      <c r="F15" s="485" t="s">
        <v>284</v>
      </c>
      <c r="G15" s="157" t="s">
        <v>259</v>
      </c>
      <c r="H15" s="158"/>
    </row>
    <row r="16" spans="3:10" ht="79.5" thickBot="1" x14ac:dyDescent="0.3">
      <c r="C16" s="484"/>
      <c r="D16" s="148" t="s">
        <v>282</v>
      </c>
      <c r="E16" s="149" t="s">
        <v>283</v>
      </c>
      <c r="F16" s="486"/>
      <c r="G16" s="149" t="s">
        <v>285</v>
      </c>
    </row>
  </sheetData>
  <mergeCells count="8">
    <mergeCell ref="C15:C16"/>
    <mergeCell ref="F15:F16"/>
    <mergeCell ref="E3:G3"/>
    <mergeCell ref="C4:C5"/>
    <mergeCell ref="C6:C8"/>
    <mergeCell ref="C9:C10"/>
    <mergeCell ref="C11:C12"/>
    <mergeCell ref="C13:C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A6C4C26C-C7A7-458F-857D-DFF733C906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1D8248-B1FC-4597-891F-A75668D08FAD}">
  <ds:schemaRefs>
    <ds:schemaRef ds:uri="http://schemas.microsoft.com/sharepoint/v3/contenttype/forms"/>
  </ds:schemaRefs>
</ds:datastoreItem>
</file>

<file path=customXml/itemProps3.xml><?xml version="1.0" encoding="utf-8"?>
<ds:datastoreItem xmlns:ds="http://schemas.openxmlformats.org/officeDocument/2006/customXml" ds:itemID="{9A2D7CED-557C-445E-9A86-EF8905F451FD}">
  <ds:schemaRefs>
    <ds:schemaRef ds:uri="http://schemas.microsoft.com/office/2006/metadata/properties"/>
    <ds:schemaRef ds:uri="http://schemas.microsoft.com/office/infopath/2007/PartnerControls"/>
    <ds:schemaRef ds:uri="4d1d2e24-7be0-47eb-a1db-99cc6d75ca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Instructivo</vt:lpstr>
      <vt:lpstr>Contexto proceso</vt:lpstr>
      <vt:lpstr>Mapa final</vt:lpstr>
      <vt:lpstr>Impacto-clasificacion</vt:lpstr>
      <vt:lpstr>Matriz Calor Inherente</vt:lpstr>
      <vt:lpstr>Matriz Calor Residual</vt:lpstr>
      <vt:lpstr>Tabla probabilidad</vt:lpstr>
      <vt:lpstr>Tabla Impacto</vt:lpstr>
      <vt:lpstr>Criterios riesgos amb.</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Luisa Fernanda Ibagon Moreno</cp:lastModifiedBy>
  <cp:revision/>
  <dcterms:created xsi:type="dcterms:W3CDTF">2020-03-24T23:12:47Z</dcterms:created>
  <dcterms:modified xsi:type="dcterms:W3CDTF">2023-12-20T12:29:03Z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