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24226"/>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3/10. Octubre/Caso HOLA 346589/"/>
    </mc:Choice>
  </mc:AlternateContent>
  <xr:revisionPtr revIDLastSave="11" documentId="13_ncr:1_{F9A9BE17-FEFD-4F46-A579-4398C1445736}" xr6:coauthVersionLast="47" xr6:coauthVersionMax="47" xr10:uidLastSave="{1992C40E-C2FA-4D14-AC6C-751068D4D50D}"/>
  <bookViews>
    <workbookView xWindow="-120" yWindow="-120" windowWidth="29040" windowHeight="15840" tabRatio="882" firstSheet="1" activeTab="2" xr2:uid="{00000000-000D-0000-FFFF-FFFF00000000}"/>
  </bookViews>
  <sheets>
    <sheet name="Instructivo" sheetId="20" r:id="rId1"/>
    <sheet name="Contexto proceso" sheetId="21" r:id="rId2"/>
    <sheet name="Mapa final" sheetId="1" r:id="rId3"/>
    <sheet name="Impacto-clasificacion" sheetId="22" state="hidden" r:id="rId4"/>
    <sheet name="Matriz Calor Inherente" sheetId="18" r:id="rId5"/>
    <sheet name="Matriz Calor Residual" sheetId="19" r:id="rId6"/>
    <sheet name="Tabla probabilidad" sheetId="12" r:id="rId7"/>
    <sheet name="Tabla Impacto" sheetId="13" r:id="rId8"/>
    <sheet name="Criterios riesgos amb." sheetId="23" r:id="rId9"/>
    <sheet name="Tabla Valoración controles" sheetId="15" r:id="rId10"/>
    <sheet name="Opciones Tratamiento" sheetId="16" state="hidden" r:id="rId11"/>
    <sheet name="Hoja1" sheetId="11" state="hidden" r:id="rId12"/>
  </sheets>
  <externalReferences>
    <externalReference r:id="rId13"/>
    <externalReference r:id="rId14"/>
    <externalReference r:id="rId15"/>
    <externalReference r:id="rId16"/>
    <externalReference r:id="rId17"/>
  </externalReferences>
  <definedNames>
    <definedName name="_1_SE">#REF!</definedName>
    <definedName name="A">#REF!</definedName>
    <definedName name="AA">#REF!</definedName>
    <definedName name="aaaa">#REF!</definedName>
    <definedName name="accion">#REF!</definedName>
    <definedName name="AGENTE">#REF!</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ona">#REF!</definedName>
  </definedNames>
  <calcPr calcId="191028"/>
  <pivotCaches>
    <pivotCache cacheId="0"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3" l="1"/>
  <c r="T32" i="1"/>
  <c r="Q32" i="1"/>
  <c r="H32" i="1"/>
  <c r="K48" i="1"/>
  <c r="K45" i="1"/>
  <c r="K43" i="1"/>
  <c r="K46" i="1"/>
  <c r="K40" i="1"/>
  <c r="K49" i="1"/>
  <c r="K42" i="1"/>
  <c r="K51" i="1"/>
  <c r="K52" i="1"/>
  <c r="K41" i="1"/>
  <c r="K53" i="1"/>
  <c r="K54" i="1"/>
  <c r="K39" i="1"/>
  <c r="K47" i="1"/>
  <c r="F221" i="13"/>
  <c r="F211" i="13"/>
  <c r="F212" i="13"/>
  <c r="F213" i="13"/>
  <c r="F214" i="13"/>
  <c r="F215" i="13"/>
  <c r="F216" i="13"/>
  <c r="F217" i="13"/>
  <c r="F218" i="13"/>
  <c r="F219" i="13"/>
  <c r="F220" i="13"/>
  <c r="F210" i="13"/>
  <c r="K33" i="1"/>
  <c r="B221" i="13" a="1"/>
  <c r="B221" i="13"/>
  <c r="Q38" i="1"/>
  <c r="AB38" i="1" s="1"/>
  <c r="AA3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4" i="1"/>
  <c r="Q54" i="1"/>
  <c r="T53" i="1"/>
  <c r="Q53" i="1"/>
  <c r="T52" i="1"/>
  <c r="Q52" i="1"/>
  <c r="T51" i="1"/>
  <c r="Q51" i="1"/>
  <c r="T50" i="1"/>
  <c r="Q50" i="1"/>
  <c r="X50" i="1" s="1"/>
  <c r="H50" i="1"/>
  <c r="I50" i="1" s="1"/>
  <c r="T49" i="1"/>
  <c r="Q49" i="1"/>
  <c r="T48" i="1"/>
  <c r="Q48" i="1"/>
  <c r="T47" i="1"/>
  <c r="Q47" i="1"/>
  <c r="T46" i="1"/>
  <c r="Q46" i="1"/>
  <c r="T45" i="1"/>
  <c r="Q45" i="1"/>
  <c r="T44" i="1"/>
  <c r="Q44" i="1"/>
  <c r="AB44" i="1" s="1"/>
  <c r="AA44" i="1" s="1"/>
  <c r="H44" i="1"/>
  <c r="I44" i="1" s="1"/>
  <c r="T43" i="1"/>
  <c r="Q43" i="1"/>
  <c r="T42" i="1"/>
  <c r="Q42" i="1"/>
  <c r="T41" i="1"/>
  <c r="Q41" i="1"/>
  <c r="T40" i="1"/>
  <c r="Q40" i="1"/>
  <c r="T39" i="1"/>
  <c r="Q39" i="1"/>
  <c r="T38" i="1"/>
  <c r="H38" i="1"/>
  <c r="I38" i="1" s="1"/>
  <c r="T37" i="1"/>
  <c r="Q37" i="1"/>
  <c r="H37" i="1"/>
  <c r="I37" i="1" s="1"/>
  <c r="T36" i="1"/>
  <c r="Q36" i="1"/>
  <c r="H36" i="1"/>
  <c r="I36" i="1" s="1"/>
  <c r="T35" i="1"/>
  <c r="Q35" i="1"/>
  <c r="H35" i="1"/>
  <c r="H34" i="1"/>
  <c r="I34" i="1" s="1"/>
  <c r="T34" i="1"/>
  <c r="Q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33" i="1"/>
  <c r="Q33" i="1"/>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K32" i="1"/>
  <c r="L32" i="1" s="1"/>
  <c r="M32" i="1" s="1"/>
  <c r="K36" i="1"/>
  <c r="L36" i="1" s="1"/>
  <c r="K35" i="1"/>
  <c r="L35" i="1" s="1"/>
  <c r="K38" i="1"/>
  <c r="L38" i="1" s="1"/>
  <c r="K37" i="1"/>
  <c r="L37" i="1" s="1"/>
  <c r="K34" i="1"/>
  <c r="L34" i="1" s="1"/>
  <c r="K50" i="1"/>
  <c r="L50" i="1" s="1"/>
  <c r="K44" i="1"/>
  <c r="L44" i="1" s="1"/>
  <c r="AB18" i="18"/>
  <c r="V18" i="18"/>
  <c r="X38" i="1" l="1"/>
  <c r="Z38" i="1" s="1"/>
  <c r="X37" i="1"/>
  <c r="X42" i="1"/>
  <c r="Y42" i="1" s="1"/>
  <c r="AH32" i="18"/>
  <c r="P34" i="18"/>
  <c r="J10" i="18"/>
  <c r="V26" i="18"/>
  <c r="AB43" i="1"/>
  <c r="AA43" i="1" s="1"/>
  <c r="X54" i="1"/>
  <c r="Z54" i="1" s="1"/>
  <c r="AB10" i="18"/>
  <c r="X45" i="1"/>
  <c r="Y45" i="1" s="1"/>
  <c r="AB26" i="18"/>
  <c r="AH42" i="18"/>
  <c r="AH34" i="18"/>
  <c r="Z18" i="18"/>
  <c r="Z8" i="18"/>
  <c r="AB50" i="1"/>
  <c r="AA50" i="1" s="1"/>
  <c r="AD30" i="18"/>
  <c r="AB32" i="1"/>
  <c r="AA32" i="1" s="1"/>
  <c r="AB47" i="1"/>
  <c r="AA47" i="1" s="1"/>
  <c r="N35" i="1"/>
  <c r="AB22" i="18"/>
  <c r="AB30" i="18"/>
  <c r="P22" i="18"/>
  <c r="P6" i="18"/>
  <c r="AH38" i="18"/>
  <c r="V6" i="18"/>
  <c r="V22" i="18"/>
  <c r="J6" i="18"/>
  <c r="J22" i="18"/>
  <c r="AH30" i="18"/>
  <c r="P14" i="18"/>
  <c r="AH22" i="18"/>
  <c r="AB6" i="18"/>
  <c r="P30" i="18"/>
  <c r="V30" i="18"/>
  <c r="X34" i="1"/>
  <c r="Z34" i="1" s="1"/>
  <c r="AF6" i="18"/>
  <c r="P38" i="18"/>
  <c r="AB38" i="18"/>
  <c r="X41" i="1"/>
  <c r="Z41" i="1" s="1"/>
  <c r="AG36" i="19"/>
  <c r="AB53" i="1"/>
  <c r="AA53" i="1" s="1"/>
  <c r="AB46" i="1"/>
  <c r="AA46" i="1" s="1"/>
  <c r="X49" i="1"/>
  <c r="Z49" i="1" s="1"/>
  <c r="L16" i="18"/>
  <c r="AJ40" i="18"/>
  <c r="J38" i="18"/>
  <c r="J14" i="18"/>
  <c r="AH14" i="18"/>
  <c r="X42" i="18"/>
  <c r="AD26" i="18"/>
  <c r="AJ10" i="18"/>
  <c r="Y37" i="1"/>
  <c r="Z37" i="1"/>
  <c r="AH8" i="18"/>
  <c r="AB48" i="1"/>
  <c r="AA48" i="1" s="1"/>
  <c r="AB41" i="1"/>
  <c r="AA41" i="1" s="1"/>
  <c r="X48" i="1"/>
  <c r="Z48" i="1" s="1"/>
  <c r="N36" i="1"/>
  <c r="V32" i="18"/>
  <c r="J30" i="18"/>
  <c r="V38" i="18"/>
  <c r="AF30" i="18"/>
  <c r="AJ30" i="18"/>
  <c r="Z14" i="18"/>
  <c r="AH6" i="18"/>
  <c r="AB14" i="18"/>
  <c r="V14" i="18"/>
  <c r="L22" i="18"/>
  <c r="AB32" i="19"/>
  <c r="AH12" i="19"/>
  <c r="V22" i="19"/>
  <c r="P12" i="19"/>
  <c r="AB22" i="19"/>
  <c r="P42" i="19"/>
  <c r="V32" i="19"/>
  <c r="V42" i="19"/>
  <c r="AH52" i="19"/>
  <c r="P22" i="19"/>
  <c r="J52" i="19"/>
  <c r="P52" i="19"/>
  <c r="AB52" i="19"/>
  <c r="J42" i="19"/>
  <c r="J12" i="19"/>
  <c r="J32" i="19"/>
  <c r="AB42" i="19"/>
  <c r="P32" i="19"/>
  <c r="AB12" i="19"/>
  <c r="J22" i="19"/>
  <c r="AH22" i="19"/>
  <c r="V12" i="19"/>
  <c r="AH42" i="19"/>
  <c r="AH32" i="19"/>
  <c r="V52" i="19"/>
  <c r="J20" i="18"/>
  <c r="AB12" i="18"/>
  <c r="V12" i="18"/>
  <c r="M50" i="1"/>
  <c r="AB28" i="18"/>
  <c r="J36" i="18"/>
  <c r="AH44" i="18"/>
  <c r="AB44" i="18"/>
  <c r="V44" i="18"/>
  <c r="AH12" i="18"/>
  <c r="V20" i="18"/>
  <c r="J44" i="18"/>
  <c r="P20" i="18"/>
  <c r="V28" i="18"/>
  <c r="AH28" i="18"/>
  <c r="AH36" i="18"/>
  <c r="P28" i="18"/>
  <c r="P36" i="18"/>
  <c r="AB20" i="18"/>
  <c r="J12" i="18"/>
  <c r="N50" i="1"/>
  <c r="AB36" i="18"/>
  <c r="P12" i="18"/>
  <c r="AH20" i="18"/>
  <c r="J28" i="18"/>
  <c r="V36" i="18"/>
  <c r="P44" i="18"/>
  <c r="Z42" i="1"/>
  <c r="N24" i="18"/>
  <c r="AB32" i="18"/>
  <c r="M35" i="1"/>
  <c r="AB35" i="1" s="1"/>
  <c r="AA35" i="1" s="1"/>
  <c r="X34" i="18"/>
  <c r="J18" i="18"/>
  <c r="AH26" i="18"/>
  <c r="AB42" i="18"/>
  <c r="I35" i="1"/>
  <c r="X35" i="1" s="1"/>
  <c r="Y35" i="1" s="1"/>
  <c r="AB51" i="1"/>
  <c r="AA51" i="1" s="1"/>
  <c r="N44" i="1"/>
  <c r="T22" i="18"/>
  <c r="AJ22" i="18"/>
  <c r="Z34" i="18"/>
  <c r="V24" i="18"/>
  <c r="Z6" i="18"/>
  <c r="P18" i="18"/>
  <c r="J34" i="18"/>
  <c r="V42" i="18"/>
  <c r="J42" i="18"/>
  <c r="AJ14" i="18"/>
  <c r="AB49" i="1"/>
  <c r="AA49" i="1" s="1"/>
  <c r="AB42" i="1"/>
  <c r="AA42" i="1" s="1"/>
  <c r="AL23" i="19" s="1"/>
  <c r="AL18" i="18"/>
  <c r="M36" i="1"/>
  <c r="AB36" i="1" s="1"/>
  <c r="AA36" i="1" s="1"/>
  <c r="X26" i="18"/>
  <c r="AH10" i="18"/>
  <c r="AH18" i="18"/>
  <c r="P42" i="18"/>
  <c r="X14" i="18"/>
  <c r="X46" i="1"/>
  <c r="Z40" i="18"/>
  <c r="AL26" i="18"/>
  <c r="J40" i="18"/>
  <c r="R34" i="18"/>
  <c r="J26" i="18"/>
  <c r="V10" i="18"/>
  <c r="V34" i="18"/>
  <c r="X38" i="18"/>
  <c r="X43" i="1"/>
  <c r="Z43" i="1" s="1"/>
  <c r="AF34" i="18"/>
  <c r="L18" i="18"/>
  <c r="P26" i="18"/>
  <c r="AB34" i="18"/>
  <c r="P10" i="18"/>
  <c r="Y38" i="1"/>
  <c r="AB13" i="19" s="1"/>
  <c r="R24" i="18"/>
  <c r="X40" i="18"/>
  <c r="L40" i="18"/>
  <c r="AD32" i="18"/>
  <c r="L8" i="18"/>
  <c r="N37" i="1"/>
  <c r="X16" i="18"/>
  <c r="AD16" i="18"/>
  <c r="AJ16" i="18"/>
  <c r="X8" i="18"/>
  <c r="AJ24" i="18"/>
  <c r="R8" i="18"/>
  <c r="X24" i="18"/>
  <c r="X32" i="18"/>
  <c r="AJ32" i="18"/>
  <c r="M37" i="1"/>
  <c r="AB37" i="1" s="1"/>
  <c r="AA37" i="1" s="1"/>
  <c r="R16" i="18"/>
  <c r="AL8" i="18"/>
  <c r="N16" i="18"/>
  <c r="AF16" i="18"/>
  <c r="AF24" i="18"/>
  <c r="Z16" i="18"/>
  <c r="N8" i="18"/>
  <c r="Z24" i="18"/>
  <c r="AF32" i="18"/>
  <c r="Z32" i="18"/>
  <c r="T16" i="18"/>
  <c r="Z45" i="1"/>
  <c r="X36" i="1"/>
  <c r="AL40" i="18"/>
  <c r="T40" i="18"/>
  <c r="T42" i="18"/>
  <c r="V40" i="18"/>
  <c r="AL22" i="18"/>
  <c r="R10" i="18"/>
  <c r="L24" i="18"/>
  <c r="AD14" i="18"/>
  <c r="L6" i="18"/>
  <c r="AJ8" i="18"/>
  <c r="Z42" i="18"/>
  <c r="AF26" i="18"/>
  <c r="N10" i="18"/>
  <c r="AL42" i="18"/>
  <c r="T18" i="18"/>
  <c r="Z10" i="18"/>
  <c r="AF18" i="18"/>
  <c r="N34" i="18"/>
  <c r="AF42" i="18"/>
  <c r="T26" i="18"/>
  <c r="AL34" i="18"/>
  <c r="N42" i="18"/>
  <c r="AF10" i="18"/>
  <c r="M44" i="1"/>
  <c r="AL10" i="18"/>
  <c r="N26" i="18"/>
  <c r="T10" i="18"/>
  <c r="AD34" i="18"/>
  <c r="X10" i="18"/>
  <c r="AJ26" i="18"/>
  <c r="AJ18" i="18"/>
  <c r="AD10" i="18"/>
  <c r="R18" i="18"/>
  <c r="AD18" i="18"/>
  <c r="N38" i="1"/>
  <c r="L10" i="18"/>
  <c r="AD42" i="18"/>
  <c r="L34" i="18"/>
  <c r="L42" i="18"/>
  <c r="AJ34" i="18"/>
  <c r="AJ42" i="18"/>
  <c r="X18" i="18"/>
  <c r="M38" i="1"/>
  <c r="R42" i="18"/>
  <c r="R40" i="18"/>
  <c r="N40" i="18"/>
  <c r="AL24" i="18"/>
  <c r="Z26" i="18"/>
  <c r="J32" i="18"/>
  <c r="R26" i="18"/>
  <c r="L32" i="18"/>
  <c r="AD8" i="18"/>
  <c r="AL14" i="18"/>
  <c r="N38" i="18"/>
  <c r="Z30" i="18"/>
  <c r="N22" i="18"/>
  <c r="AL30" i="18"/>
  <c r="AL6" i="18"/>
  <c r="AL38" i="18"/>
  <c r="AF22" i="18"/>
  <c r="T6" i="18"/>
  <c r="Z38" i="18"/>
  <c r="N14" i="18"/>
  <c r="N6" i="18"/>
  <c r="AF14" i="18"/>
  <c r="N30" i="18"/>
  <c r="T38" i="18"/>
  <c r="AF38" i="18"/>
  <c r="Z22" i="18"/>
  <c r="AL32" i="18"/>
  <c r="T24" i="18"/>
  <c r="AF40" i="18"/>
  <c r="T34" i="18"/>
  <c r="AB24" i="18"/>
  <c r="P16" i="18"/>
  <c r="AH40" i="18"/>
  <c r="V16" i="18"/>
  <c r="P40" i="18"/>
  <c r="J8" i="18"/>
  <c r="J16" i="18"/>
  <c r="AH16" i="18"/>
  <c r="AB8" i="18"/>
  <c r="P32" i="18"/>
  <c r="AB16" i="18"/>
  <c r="J24" i="18"/>
  <c r="AB40" i="18"/>
  <c r="P24" i="18"/>
  <c r="AH24" i="18"/>
  <c r="P8" i="18"/>
  <c r="AL16" i="18"/>
  <c r="N32" i="18"/>
  <c r="T8" i="18"/>
  <c r="AD24" i="18"/>
  <c r="R30" i="18"/>
  <c r="L30" i="18"/>
  <c r="X30" i="18"/>
  <c r="X22" i="18"/>
  <c r="R38" i="18"/>
  <c r="L14" i="18"/>
  <c r="AD38" i="18"/>
  <c r="R14" i="18"/>
  <c r="AJ6" i="18"/>
  <c r="X6" i="18"/>
  <c r="N34" i="1"/>
  <c r="AD6" i="18"/>
  <c r="L38" i="18"/>
  <c r="R22" i="18"/>
  <c r="M34" i="1"/>
  <c r="AB34" i="1" s="1"/>
  <c r="AJ38" i="18"/>
  <c r="R6" i="18"/>
  <c r="T32" i="18"/>
  <c r="AF8" i="18"/>
  <c r="N18" i="18"/>
  <c r="V8" i="18"/>
  <c r="T30" i="18"/>
  <c r="T14" i="18"/>
  <c r="L26" i="18"/>
  <c r="AD40" i="18"/>
  <c r="R32" i="18"/>
  <c r="AD22" i="18"/>
  <c r="AH53" i="19"/>
  <c r="S46" i="19"/>
  <c r="X47" i="1"/>
  <c r="Y48" i="1"/>
  <c r="AB51" i="19"/>
  <c r="N32" i="1"/>
  <c r="X53" i="1"/>
  <c r="AB54" i="1"/>
  <c r="AA54" i="1" s="1"/>
  <c r="X39" i="1"/>
  <c r="X40" i="1"/>
  <c r="AB39" i="1"/>
  <c r="AA39" i="1" s="1"/>
  <c r="AB40" i="1"/>
  <c r="AA40" i="1" s="1"/>
  <c r="Y50" i="1"/>
  <c r="Z50" i="1"/>
  <c r="AB52" i="1"/>
  <c r="AA52" i="1" s="1"/>
  <c r="X44" i="1"/>
  <c r="I32" i="1"/>
  <c r="X32" i="1" s="1"/>
  <c r="AB45" i="1"/>
  <c r="AA45" i="1" s="1"/>
  <c r="X52" i="1"/>
  <c r="X51" i="1"/>
  <c r="O6" i="19"/>
  <c r="AG6" i="19"/>
  <c r="O36" i="19"/>
  <c r="AM6" i="19"/>
  <c r="AM46" i="19"/>
  <c r="AA36" i="19"/>
  <c r="AA16" i="19"/>
  <c r="AA46" i="19"/>
  <c r="U26" i="19"/>
  <c r="U46" i="19"/>
  <c r="O26" i="19"/>
  <c r="U36" i="19"/>
  <c r="AM16" i="19"/>
  <c r="AM26" i="19"/>
  <c r="O46" i="19"/>
  <c r="AG26" i="19"/>
  <c r="AM36" i="19"/>
  <c r="AG16" i="19"/>
  <c r="U6" i="19"/>
  <c r="AA6" i="19"/>
  <c r="U16" i="19"/>
  <c r="AA26" i="19"/>
  <c r="O16" i="19"/>
  <c r="AG46" i="19"/>
  <c r="AB30" i="19" l="1"/>
  <c r="AF43" i="19"/>
  <c r="Y54" i="1"/>
  <c r="AF13" i="19"/>
  <c r="AB31" i="19"/>
  <c r="AH33" i="19"/>
  <c r="AH41" i="19"/>
  <c r="J23" i="19"/>
  <c r="V20" i="19"/>
  <c r="V33" i="19"/>
  <c r="AB38" i="19"/>
  <c r="J31" i="19"/>
  <c r="J11" i="19"/>
  <c r="P31" i="19"/>
  <c r="AH51" i="19"/>
  <c r="V21" i="19"/>
  <c r="V31" i="19"/>
  <c r="AH31" i="19"/>
  <c r="J41" i="19"/>
  <c r="AB33" i="1"/>
  <c r="AA33" i="1" s="1"/>
  <c r="P11" i="19"/>
  <c r="V41" i="19"/>
  <c r="AB43" i="19"/>
  <c r="P51" i="19"/>
  <c r="AB41" i="19"/>
  <c r="AB11" i="19"/>
  <c r="AH21" i="19"/>
  <c r="J51" i="19"/>
  <c r="J21" i="19"/>
  <c r="V51" i="19"/>
  <c r="P41" i="19"/>
  <c r="AE10" i="19"/>
  <c r="AB21" i="19"/>
  <c r="V11" i="19"/>
  <c r="P21" i="19"/>
  <c r="V53" i="19"/>
  <c r="Y32" i="1"/>
  <c r="Z32" i="1"/>
  <c r="X33" i="1" s="1"/>
  <c r="Y33" i="1" s="1"/>
  <c r="AA34" i="1"/>
  <c r="AL53" i="19"/>
  <c r="AC42" i="1"/>
  <c r="AF33" i="19"/>
  <c r="T43" i="19"/>
  <c r="Y34" i="1"/>
  <c r="W41" i="19"/>
  <c r="Y41" i="1"/>
  <c r="S23" i="19" s="1"/>
  <c r="J40" i="19"/>
  <c r="AH11" i="19"/>
  <c r="AI18" i="19"/>
  <c r="AE6" i="19"/>
  <c r="V10" i="19"/>
  <c r="J53" i="19"/>
  <c r="AC38" i="1"/>
  <c r="AH43" i="19"/>
  <c r="Z23" i="19"/>
  <c r="T23" i="19"/>
  <c r="T13" i="19"/>
  <c r="P33" i="19"/>
  <c r="J33" i="19"/>
  <c r="P53" i="19"/>
  <c r="P28" i="19"/>
  <c r="AL43" i="19"/>
  <c r="AF23" i="19"/>
  <c r="AE16" i="19"/>
  <c r="AH30" i="19"/>
  <c r="J13" i="19"/>
  <c r="V23" i="19"/>
  <c r="AB53" i="19"/>
  <c r="Z43" i="19"/>
  <c r="T53" i="19"/>
  <c r="N43" i="19"/>
  <c r="AF53" i="19"/>
  <c r="T33" i="19"/>
  <c r="P40" i="19"/>
  <c r="AE46" i="19"/>
  <c r="J43" i="19"/>
  <c r="AH23" i="19"/>
  <c r="AB23" i="19"/>
  <c r="N13" i="19"/>
  <c r="Z33" i="19"/>
  <c r="Z53" i="19"/>
  <c r="P13" i="19"/>
  <c r="P23" i="19"/>
  <c r="AH13" i="19"/>
  <c r="Z13" i="19"/>
  <c r="N23" i="19"/>
  <c r="V13" i="19"/>
  <c r="V43" i="19"/>
  <c r="P43" i="19"/>
  <c r="N33" i="19"/>
  <c r="AL13" i="19"/>
  <c r="Y43" i="1"/>
  <c r="AM23" i="19" s="1"/>
  <c r="P50" i="19"/>
  <c r="AH40" i="19"/>
  <c r="AC37" i="1"/>
  <c r="P10" i="19"/>
  <c r="V40" i="19"/>
  <c r="P20" i="19"/>
  <c r="AL26" i="19"/>
  <c r="K18" i="19"/>
  <c r="J10" i="19"/>
  <c r="AB10" i="19"/>
  <c r="K51" i="19"/>
  <c r="J50" i="19"/>
  <c r="AH10" i="19"/>
  <c r="P30" i="19"/>
  <c r="W11" i="19"/>
  <c r="W21" i="19"/>
  <c r="AH50" i="19"/>
  <c r="Y49" i="1"/>
  <c r="AC49" i="1" s="1"/>
  <c r="Z16" i="19"/>
  <c r="N36" i="19"/>
  <c r="T6" i="19"/>
  <c r="Z46" i="19"/>
  <c r="AL33" i="19"/>
  <c r="AL6" i="19"/>
  <c r="K31" i="19"/>
  <c r="T26" i="19"/>
  <c r="V50" i="19"/>
  <c r="AB50" i="19"/>
  <c r="Y36" i="19"/>
  <c r="W51" i="19"/>
  <c r="V30" i="19"/>
  <c r="J30" i="19"/>
  <c r="J20" i="19"/>
  <c r="AH20" i="19"/>
  <c r="Q11" i="19"/>
  <c r="V38" i="19"/>
  <c r="T36" i="19"/>
  <c r="M36" i="19"/>
  <c r="S6" i="19"/>
  <c r="S16" i="19"/>
  <c r="AL46" i="19"/>
  <c r="AB20" i="19"/>
  <c r="P18" i="19"/>
  <c r="AE26" i="19"/>
  <c r="Y6" i="19"/>
  <c r="AK6" i="19"/>
  <c r="M16" i="19"/>
  <c r="AF46" i="19"/>
  <c r="M46" i="19"/>
  <c r="Y26" i="19"/>
  <c r="M6" i="19"/>
  <c r="AK36" i="19"/>
  <c r="Y16" i="19"/>
  <c r="S26" i="19"/>
  <c r="Y46" i="19"/>
  <c r="AK16" i="19"/>
  <c r="Z36" i="19"/>
  <c r="AK26" i="19"/>
  <c r="M26" i="19"/>
  <c r="AK46" i="19"/>
  <c r="Z35" i="1"/>
  <c r="AE36" i="19"/>
  <c r="S36" i="19"/>
  <c r="AH38" i="19"/>
  <c r="V28" i="19"/>
  <c r="J38" i="19"/>
  <c r="AB33" i="19"/>
  <c r="P38" i="19"/>
  <c r="J28" i="19"/>
  <c r="AH18" i="19"/>
  <c r="N16" i="19"/>
  <c r="AF36" i="19"/>
  <c r="J18" i="19"/>
  <c r="J8" i="19"/>
  <c r="V18" i="19"/>
  <c r="V8" i="19"/>
  <c r="AB28" i="19"/>
  <c r="V48" i="19"/>
  <c r="AH48" i="19"/>
  <c r="AH8" i="19"/>
  <c r="AB40" i="19"/>
  <c r="AB18" i="19"/>
  <c r="AB48" i="19"/>
  <c r="AC35" i="1"/>
  <c r="Z6" i="19"/>
  <c r="P48" i="19"/>
  <c r="AB8" i="19"/>
  <c r="P8" i="19"/>
  <c r="N6" i="19"/>
  <c r="AH28" i="19"/>
  <c r="J48" i="19"/>
  <c r="Q38" i="19"/>
  <c r="N53" i="19"/>
  <c r="AL36" i="19"/>
  <c r="Z46" i="1"/>
  <c r="Y46" i="1"/>
  <c r="N26" i="19"/>
  <c r="X49" i="19"/>
  <c r="L9" i="19"/>
  <c r="AJ19" i="19"/>
  <c r="AD29" i="19"/>
  <c r="L49" i="19"/>
  <c r="L29" i="19"/>
  <c r="X9" i="19"/>
  <c r="AJ9" i="19"/>
  <c r="X19" i="19"/>
  <c r="R49" i="19"/>
  <c r="AD39" i="19"/>
  <c r="AD9" i="19"/>
  <c r="AD49" i="19"/>
  <c r="R29" i="19"/>
  <c r="AJ49" i="19"/>
  <c r="L19" i="19"/>
  <c r="L39" i="19"/>
  <c r="AD19" i="19"/>
  <c r="R19" i="19"/>
  <c r="R39" i="19"/>
  <c r="X29" i="19"/>
  <c r="AJ39" i="19"/>
  <c r="R9" i="19"/>
  <c r="X39" i="19"/>
  <c r="AJ29" i="19"/>
  <c r="N46" i="19"/>
  <c r="AE30" i="19"/>
  <c r="K8" i="19"/>
  <c r="AA43" i="19"/>
  <c r="AG23" i="19"/>
  <c r="O53" i="19"/>
  <c r="AG13" i="19"/>
  <c r="U53" i="19"/>
  <c r="AG33" i="19"/>
  <c r="O43" i="19"/>
  <c r="AG43" i="19"/>
  <c r="AA33" i="19"/>
  <c r="AM43" i="19"/>
  <c r="AM53" i="19"/>
  <c r="AA13" i="19"/>
  <c r="AA23" i="19"/>
  <c r="AC43" i="1"/>
  <c r="O23" i="19"/>
  <c r="U13" i="19"/>
  <c r="AG53" i="19"/>
  <c r="O33" i="19"/>
  <c r="U33" i="19"/>
  <c r="AC28" i="19"/>
  <c r="AC18" i="19"/>
  <c r="X8" i="19"/>
  <c r="X38" i="19"/>
  <c r="AD28" i="19"/>
  <c r="R48" i="19"/>
  <c r="AJ28" i="19"/>
  <c r="AJ8" i="19"/>
  <c r="L28" i="19"/>
  <c r="L8" i="19"/>
  <c r="X18" i="19"/>
  <c r="AD18" i="19"/>
  <c r="AD38" i="19"/>
  <c r="X48" i="19"/>
  <c r="AJ38" i="19"/>
  <c r="AD48" i="19"/>
  <c r="R28" i="19"/>
  <c r="L48" i="19"/>
  <c r="R18" i="19"/>
  <c r="X28" i="19"/>
  <c r="AJ18" i="19"/>
  <c r="L38" i="19"/>
  <c r="L18" i="19"/>
  <c r="AJ48" i="19"/>
  <c r="R38" i="19"/>
  <c r="R8" i="19"/>
  <c r="AD8" i="19"/>
  <c r="Z53" i="1"/>
  <c r="Y53" i="1"/>
  <c r="Q18" i="19"/>
  <c r="Y44" i="1"/>
  <c r="Z44" i="1"/>
  <c r="AC8" i="19"/>
  <c r="AI48" i="19"/>
  <c r="W8" i="19"/>
  <c r="AI8" i="19"/>
  <c r="Q8" i="19"/>
  <c r="AC38" i="19"/>
  <c r="W28" i="19"/>
  <c r="AC48" i="19"/>
  <c r="K48" i="19"/>
  <c r="T46" i="19"/>
  <c r="AF26" i="19"/>
  <c r="AF6" i="19"/>
  <c r="P15" i="19"/>
  <c r="V35" i="19"/>
  <c r="P25" i="19"/>
  <c r="P45" i="19"/>
  <c r="P35" i="19"/>
  <c r="V45" i="19"/>
  <c r="V15" i="19"/>
  <c r="AB55" i="19"/>
  <c r="AH45" i="19"/>
  <c r="AH25" i="19"/>
  <c r="J25" i="19"/>
  <c r="AH35" i="19"/>
  <c r="AB15" i="19"/>
  <c r="J45" i="19"/>
  <c r="V25" i="19"/>
  <c r="J55" i="19"/>
  <c r="V55" i="19"/>
  <c r="AH15" i="19"/>
  <c r="AB45" i="19"/>
  <c r="AB25" i="19"/>
  <c r="J15" i="19"/>
  <c r="J35" i="19"/>
  <c r="AC50" i="1"/>
  <c r="AH55" i="19"/>
  <c r="AB35" i="19"/>
  <c r="P55" i="19"/>
  <c r="Z39" i="1"/>
  <c r="Y39" i="1"/>
  <c r="O8" i="19"/>
  <c r="U48" i="19"/>
  <c r="U18" i="19"/>
  <c r="U8" i="19"/>
  <c r="AA18" i="19"/>
  <c r="AG38" i="19"/>
  <c r="AG8" i="19"/>
  <c r="AG48" i="19"/>
  <c r="AM8" i="19"/>
  <c r="O18" i="19"/>
  <c r="AM18" i="19"/>
  <c r="AA38" i="19"/>
  <c r="O28" i="19"/>
  <c r="AA48" i="19"/>
  <c r="AG28" i="19"/>
  <c r="U28" i="19"/>
  <c r="AM28" i="19"/>
  <c r="AA28" i="19"/>
  <c r="AA8" i="19"/>
  <c r="U38" i="19"/>
  <c r="AM48" i="19"/>
  <c r="O38" i="19"/>
  <c r="AM38" i="19"/>
  <c r="O48" i="19"/>
  <c r="AG18" i="19"/>
  <c r="AI38" i="19"/>
  <c r="W38" i="19"/>
  <c r="Z40" i="19"/>
  <c r="T50" i="19"/>
  <c r="Z10" i="19"/>
  <c r="AL10" i="19"/>
  <c r="AL30" i="19"/>
  <c r="AF20" i="19"/>
  <c r="N20" i="19"/>
  <c r="AF10" i="19"/>
  <c r="AF40" i="19"/>
  <c r="Z50" i="19"/>
  <c r="T20" i="19"/>
  <c r="AF30" i="19"/>
  <c r="AL50" i="19"/>
  <c r="Z20" i="19"/>
  <c r="AL40" i="19"/>
  <c r="T30" i="19"/>
  <c r="AF50" i="19"/>
  <c r="T40" i="19"/>
  <c r="N50" i="19"/>
  <c r="N40" i="19"/>
  <c r="AL20" i="19"/>
  <c r="N10" i="19"/>
  <c r="T10" i="19"/>
  <c r="Z30" i="19"/>
  <c r="N30" i="19"/>
  <c r="AL31" i="19"/>
  <c r="AL41" i="19"/>
  <c r="T31" i="19"/>
  <c r="T21" i="19"/>
  <c r="AL21" i="19"/>
  <c r="Z11" i="19"/>
  <c r="Z31" i="19"/>
  <c r="Z21" i="19"/>
  <c r="T41" i="19"/>
  <c r="AF31" i="19"/>
  <c r="N21" i="19"/>
  <c r="AL51" i="19"/>
  <c r="AF41" i="19"/>
  <c r="T51" i="19"/>
  <c r="N31" i="19"/>
  <c r="N11" i="19"/>
  <c r="Z41" i="19"/>
  <c r="T11" i="19"/>
  <c r="N41" i="19"/>
  <c r="AF11" i="19"/>
  <c r="AF51" i="19"/>
  <c r="AF21" i="19"/>
  <c r="N51" i="19"/>
  <c r="AL11" i="19"/>
  <c r="Z51" i="19"/>
  <c r="AF34" i="19"/>
  <c r="AL44" i="19"/>
  <c r="AF24" i="19"/>
  <c r="AL14" i="19"/>
  <c r="N34" i="19"/>
  <c r="AF14" i="19"/>
  <c r="T44" i="19"/>
  <c r="Z24" i="19"/>
  <c r="AL54" i="19"/>
  <c r="N14" i="19"/>
  <c r="T14" i="19"/>
  <c r="T54" i="19"/>
  <c r="AF54" i="19"/>
  <c r="T24" i="19"/>
  <c r="T34" i="19"/>
  <c r="Z34" i="19"/>
  <c r="N24" i="19"/>
  <c r="AL34" i="19"/>
  <c r="Z44" i="19"/>
  <c r="N54" i="19"/>
  <c r="Z14" i="19"/>
  <c r="Z54" i="19"/>
  <c r="AL24" i="19"/>
  <c r="AF44" i="19"/>
  <c r="AC48" i="1"/>
  <c r="N44" i="19"/>
  <c r="Z47" i="1"/>
  <c r="Y47" i="1"/>
  <c r="Z36" i="1"/>
  <c r="Y36" i="1"/>
  <c r="Y51" i="1"/>
  <c r="Z51" i="1"/>
  <c r="W48" i="19"/>
  <c r="Q28" i="19"/>
  <c r="W24" i="19"/>
  <c r="AI24" i="19"/>
  <c r="K14" i="19"/>
  <c r="AC14" i="19"/>
  <c r="K54" i="19"/>
  <c r="Q44" i="19"/>
  <c r="K34" i="19"/>
  <c r="Q14" i="19"/>
  <c r="AI34" i="19"/>
  <c r="AC54" i="19"/>
  <c r="AC34" i="19"/>
  <c r="Q24" i="19"/>
  <c r="AC24" i="19"/>
  <c r="Q34" i="19"/>
  <c r="AI14" i="19"/>
  <c r="AI44" i="19"/>
  <c r="W34" i="19"/>
  <c r="AC45" i="1"/>
  <c r="K44" i="19"/>
  <c r="AI54" i="19"/>
  <c r="W54" i="19"/>
  <c r="Q54" i="19"/>
  <c r="AC44" i="19"/>
  <c r="K24" i="19"/>
  <c r="W14" i="19"/>
  <c r="W44" i="19"/>
  <c r="K38" i="19"/>
  <c r="Z26" i="19"/>
  <c r="AL16" i="19"/>
  <c r="Z52" i="1"/>
  <c r="Y52" i="1"/>
  <c r="Z45" i="19"/>
  <c r="AL15" i="19"/>
  <c r="T25" i="19"/>
  <c r="AF35" i="19"/>
  <c r="N25" i="19"/>
  <c r="AL35" i="19"/>
  <c r="AF15" i="19"/>
  <c r="T35" i="19"/>
  <c r="T15" i="19"/>
  <c r="AF55" i="19"/>
  <c r="N45" i="19"/>
  <c r="AF45" i="19"/>
  <c r="T45" i="19"/>
  <c r="AC54" i="1"/>
  <c r="N35" i="19"/>
  <c r="N55" i="19"/>
  <c r="Z25" i="19"/>
  <c r="Z15" i="19"/>
  <c r="Z35" i="19"/>
  <c r="T55" i="19"/>
  <c r="AL55" i="19"/>
  <c r="Z55" i="19"/>
  <c r="AL25" i="19"/>
  <c r="AF25" i="19"/>
  <c r="AL45" i="19"/>
  <c r="N15" i="19"/>
  <c r="AA55" i="19"/>
  <c r="AA25" i="19"/>
  <c r="AA45" i="19"/>
  <c r="AG55" i="19"/>
  <c r="O45" i="19"/>
  <c r="AM45" i="19"/>
  <c r="AM15" i="19"/>
  <c r="U55" i="19"/>
  <c r="AA15" i="19"/>
  <c r="AG25" i="19"/>
  <c r="U45" i="19"/>
  <c r="AM55" i="19"/>
  <c r="AA35" i="19"/>
  <c r="O35" i="19"/>
  <c r="AM25" i="19"/>
  <c r="AG45" i="19"/>
  <c r="AG15" i="19"/>
  <c r="U35" i="19"/>
  <c r="O15" i="19"/>
  <c r="O55" i="19"/>
  <c r="U15" i="19"/>
  <c r="AG35" i="19"/>
  <c r="O25" i="19"/>
  <c r="AM35" i="19"/>
  <c r="U25" i="19"/>
  <c r="AI28" i="19"/>
  <c r="Q48" i="19"/>
  <c r="Y40" i="1"/>
  <c r="Z40" i="1"/>
  <c r="T16" i="19"/>
  <c r="AF16" i="19"/>
  <c r="K28" i="19"/>
  <c r="W18" i="19"/>
  <c r="Y13" i="19"/>
  <c r="AC41" i="1"/>
  <c r="U7" i="19"/>
  <c r="U37" i="19"/>
  <c r="O7" i="19"/>
  <c r="AM47" i="19"/>
  <c r="AM17" i="19"/>
  <c r="AA37" i="19"/>
  <c r="O37" i="19"/>
  <c r="AG27" i="19"/>
  <c r="AM27" i="19"/>
  <c r="O17" i="19"/>
  <c r="AM7" i="19"/>
  <c r="U17" i="19"/>
  <c r="AG37" i="19"/>
  <c r="AA47" i="19"/>
  <c r="AG17" i="19"/>
  <c r="AM37" i="19"/>
  <c r="AG7" i="19"/>
  <c r="AA17" i="19"/>
  <c r="U27" i="19"/>
  <c r="AA27" i="19"/>
  <c r="AG47" i="19"/>
  <c r="U47" i="19"/>
  <c r="O47" i="19"/>
  <c r="AA7" i="19"/>
  <c r="O27" i="19"/>
  <c r="Z33" i="1" l="1"/>
  <c r="S33" i="19"/>
  <c r="U44" i="19"/>
  <c r="AE53" i="19"/>
  <c r="AG14" i="19"/>
  <c r="AA44" i="19"/>
  <c r="AG44" i="19"/>
  <c r="S40" i="19"/>
  <c r="Y43" i="19"/>
  <c r="AK40" i="19"/>
  <c r="U54" i="19"/>
  <c r="AE13" i="19"/>
  <c r="AM54" i="19"/>
  <c r="M20" i="19"/>
  <c r="P17" i="19"/>
  <c r="Y53" i="19"/>
  <c r="AA34" i="19"/>
  <c r="Y33" i="19"/>
  <c r="AG54" i="19"/>
  <c r="AA53" i="19"/>
  <c r="U23" i="19"/>
  <c r="O13" i="19"/>
  <c r="AB7" i="19"/>
  <c r="V47" i="19"/>
  <c r="P7" i="19"/>
  <c r="AM13" i="19"/>
  <c r="AM33" i="19"/>
  <c r="U43" i="19"/>
  <c r="AH47" i="19"/>
  <c r="S50" i="19"/>
  <c r="Y23" i="19"/>
  <c r="M13" i="19"/>
  <c r="M33" i="19"/>
  <c r="AH37" i="19"/>
  <c r="V27" i="19"/>
  <c r="Y30" i="19"/>
  <c r="Y40" i="19"/>
  <c r="AK13" i="19"/>
  <c r="AK33" i="19"/>
  <c r="AE33" i="19"/>
  <c r="AH17" i="19"/>
  <c r="J47" i="19"/>
  <c r="AK10" i="19"/>
  <c r="S20" i="19"/>
  <c r="S13" i="19"/>
  <c r="S53" i="19"/>
  <c r="AE23" i="19"/>
  <c r="P27" i="19"/>
  <c r="Y50" i="19"/>
  <c r="M50" i="19"/>
  <c r="AK20" i="19"/>
  <c r="S10" i="19"/>
  <c r="AE50" i="19"/>
  <c r="M40" i="19"/>
  <c r="Y10" i="19"/>
  <c r="AK43" i="19"/>
  <c r="AK23" i="19"/>
  <c r="M53" i="19"/>
  <c r="AH7" i="19"/>
  <c r="M10" i="19"/>
  <c r="AK30" i="19"/>
  <c r="M30" i="19"/>
  <c r="AE43" i="19"/>
  <c r="S43" i="19"/>
  <c r="M43" i="19"/>
  <c r="AB47" i="19"/>
  <c r="AE20" i="19"/>
  <c r="AK50" i="19"/>
  <c r="AE40" i="19"/>
  <c r="Y20" i="19"/>
  <c r="M23" i="19"/>
  <c r="AK53" i="19"/>
  <c r="AB17" i="19"/>
  <c r="S30" i="19"/>
  <c r="AC21" i="19"/>
  <c r="AI21" i="19"/>
  <c r="AC31" i="19"/>
  <c r="Q41" i="19"/>
  <c r="K41" i="19"/>
  <c r="AI41" i="19"/>
  <c r="K21" i="19"/>
  <c r="AC51" i="19"/>
  <c r="AI31" i="19"/>
  <c r="Q21" i="19"/>
  <c r="Q47" i="19"/>
  <c r="W31" i="19"/>
  <c r="AC11" i="19"/>
  <c r="K11" i="19"/>
  <c r="AI11" i="19"/>
  <c r="AC34" i="1"/>
  <c r="V26" i="19"/>
  <c r="AC32" i="1"/>
  <c r="P36" i="19"/>
  <c r="J36" i="19"/>
  <c r="V36" i="19"/>
  <c r="AB6" i="19"/>
  <c r="J46" i="19"/>
  <c r="V46" i="19"/>
  <c r="P46" i="19"/>
  <c r="J26" i="19"/>
  <c r="AH6" i="19"/>
  <c r="V16" i="19"/>
  <c r="J16" i="19"/>
  <c r="V6" i="19"/>
  <c r="P6" i="19"/>
  <c r="J6" i="19"/>
  <c r="P16" i="19"/>
  <c r="AB46" i="19"/>
  <c r="AH26" i="19"/>
  <c r="AH46" i="19"/>
  <c r="P26" i="19"/>
  <c r="AB26" i="19"/>
  <c r="AH36" i="19"/>
  <c r="AH16" i="19"/>
  <c r="AB36" i="19"/>
  <c r="AB16" i="19"/>
  <c r="J7" i="19"/>
  <c r="V37" i="19"/>
  <c r="AB37" i="19"/>
  <c r="J37" i="19"/>
  <c r="V7" i="19"/>
  <c r="J17" i="19"/>
  <c r="AH27" i="19"/>
  <c r="AB27" i="19"/>
  <c r="P37" i="19"/>
  <c r="V17" i="19"/>
  <c r="P47" i="19"/>
  <c r="J27" i="19"/>
  <c r="AA54" i="19"/>
  <c r="U34" i="19"/>
  <c r="U14" i="19"/>
  <c r="O34" i="19"/>
  <c r="AM24" i="19"/>
  <c r="O44" i="19"/>
  <c r="O54" i="19"/>
  <c r="AG34" i="19"/>
  <c r="AA14" i="19"/>
  <c r="AM14" i="19"/>
  <c r="AA24" i="19"/>
  <c r="AM34" i="19"/>
  <c r="U24" i="19"/>
  <c r="AM44" i="19"/>
  <c r="O14" i="19"/>
  <c r="AG24" i="19"/>
  <c r="O24" i="19"/>
  <c r="Q51" i="19"/>
  <c r="Q31" i="19"/>
  <c r="AI51" i="19"/>
  <c r="AC41" i="19"/>
  <c r="T7" i="19"/>
  <c r="T27" i="19"/>
  <c r="Z7" i="19"/>
  <c r="AL27" i="19"/>
  <c r="AL17" i="19"/>
  <c r="AF17" i="19"/>
  <c r="T17" i="19"/>
  <c r="Z47" i="19"/>
  <c r="Z37" i="19"/>
  <c r="AF37" i="19"/>
  <c r="Z27" i="19"/>
  <c r="AF7" i="19"/>
  <c r="T37" i="19"/>
  <c r="T47" i="19"/>
  <c r="N17" i="19"/>
  <c r="AF47" i="19"/>
  <c r="AL47" i="19"/>
  <c r="N27" i="19"/>
  <c r="AL37" i="19"/>
  <c r="N37" i="19"/>
  <c r="AL7" i="19"/>
  <c r="AF27" i="19"/>
  <c r="N47" i="19"/>
  <c r="N7" i="19"/>
  <c r="Z17" i="19"/>
  <c r="W6" i="19"/>
  <c r="W16" i="19"/>
  <c r="AC36" i="19"/>
  <c r="W26" i="19"/>
  <c r="AI26" i="19"/>
  <c r="K6" i="19"/>
  <c r="AC6" i="19"/>
  <c r="AI36" i="19"/>
  <c r="Q46" i="19"/>
  <c r="K36" i="19"/>
  <c r="K16" i="19"/>
  <c r="AI6" i="19"/>
  <c r="K26" i="19"/>
  <c r="Q16" i="19"/>
  <c r="K46" i="19"/>
  <c r="AC26" i="19"/>
  <c r="Q26" i="19"/>
  <c r="AI16" i="19"/>
  <c r="W36" i="19"/>
  <c r="AC46" i="19"/>
  <c r="AI46" i="19"/>
  <c r="W46" i="19"/>
  <c r="AC33" i="1"/>
  <c r="Q36" i="19"/>
  <c r="AC16" i="19"/>
  <c r="Q6" i="19"/>
  <c r="X44" i="19"/>
  <c r="AC46" i="1"/>
  <c r="AD54" i="19"/>
  <c r="AJ44" i="19"/>
  <c r="R14" i="19"/>
  <c r="AD34" i="19"/>
  <c r="AJ54" i="19"/>
  <c r="X54" i="19"/>
  <c r="AJ14" i="19"/>
  <c r="AJ24" i="19"/>
  <c r="X14" i="19"/>
  <c r="L14" i="19"/>
  <c r="R54" i="19"/>
  <c r="AJ34" i="19"/>
  <c r="R44" i="19"/>
  <c r="X34" i="19"/>
  <c r="AD14" i="19"/>
  <c r="AD24" i="19"/>
  <c r="L54" i="19"/>
  <c r="R34" i="19"/>
  <c r="L24" i="19"/>
  <c r="R24" i="19"/>
  <c r="AD44" i="19"/>
  <c r="L44" i="19"/>
  <c r="L34" i="19"/>
  <c r="X24" i="19"/>
  <c r="AA50" i="19"/>
  <c r="O40" i="19"/>
  <c r="AA40" i="19"/>
  <c r="AM30" i="19"/>
  <c r="U20" i="19"/>
  <c r="AG20" i="19"/>
  <c r="AM20" i="19"/>
  <c r="AG40" i="19"/>
  <c r="U10" i="19"/>
  <c r="O20" i="19"/>
  <c r="O50" i="19"/>
  <c r="AG50" i="19"/>
  <c r="AG30" i="19"/>
  <c r="O30" i="19"/>
  <c r="AA10" i="19"/>
  <c r="AA30" i="19"/>
  <c r="U50" i="19"/>
  <c r="AG10" i="19"/>
  <c r="AM40" i="19"/>
  <c r="AA20" i="19"/>
  <c r="AM50" i="19"/>
  <c r="O10" i="19"/>
  <c r="U30" i="19"/>
  <c r="AM10" i="19"/>
  <c r="U40" i="19"/>
  <c r="Q49" i="19"/>
  <c r="K9" i="19"/>
  <c r="K49" i="19"/>
  <c r="K39" i="19"/>
  <c r="AC9" i="19"/>
  <c r="AI39" i="19"/>
  <c r="Q9" i="19"/>
  <c r="AC39" i="19"/>
  <c r="AI9" i="19"/>
  <c r="K29" i="19"/>
  <c r="AI29" i="19"/>
  <c r="W9" i="19"/>
  <c r="Q39" i="19"/>
  <c r="AC29" i="19"/>
  <c r="AC19" i="19"/>
  <c r="K19" i="19"/>
  <c r="W39" i="19"/>
  <c r="W19" i="19"/>
  <c r="AC49" i="19"/>
  <c r="AI19" i="19"/>
  <c r="W29" i="19"/>
  <c r="Q19" i="19"/>
  <c r="W49" i="19"/>
  <c r="AI49" i="19"/>
  <c r="Q29" i="19"/>
  <c r="AG39" i="19"/>
  <c r="O49" i="19"/>
  <c r="AM39" i="19"/>
  <c r="AA9" i="19"/>
  <c r="AG29" i="19"/>
  <c r="U49" i="19"/>
  <c r="AM29" i="19"/>
  <c r="AA29" i="19"/>
  <c r="AM19" i="19"/>
  <c r="AA19" i="19"/>
  <c r="O9" i="19"/>
  <c r="O39" i="19"/>
  <c r="U39" i="19"/>
  <c r="AM9" i="19"/>
  <c r="AG9" i="19"/>
  <c r="AA49" i="19"/>
  <c r="O29" i="19"/>
  <c r="AM49" i="19"/>
  <c r="U9" i="19"/>
  <c r="AG49" i="19"/>
  <c r="U29" i="19"/>
  <c r="O19" i="19"/>
  <c r="AG19" i="19"/>
  <c r="AA39" i="19"/>
  <c r="U19" i="19"/>
  <c r="T28" i="19"/>
  <c r="AL48" i="19"/>
  <c r="T48" i="19"/>
  <c r="AF38" i="19"/>
  <c r="AL28" i="19"/>
  <c r="T8" i="19"/>
  <c r="Z28" i="19"/>
  <c r="N38" i="19"/>
  <c r="T38" i="19"/>
  <c r="T18" i="19"/>
  <c r="AF18" i="19"/>
  <c r="N28" i="19"/>
  <c r="N48" i="19"/>
  <c r="AL18" i="19"/>
  <c r="N8" i="19"/>
  <c r="Z8" i="19"/>
  <c r="AF8" i="19"/>
  <c r="AF48" i="19"/>
  <c r="AL8" i="19"/>
  <c r="N18" i="19"/>
  <c r="AL38" i="19"/>
  <c r="Z38" i="19"/>
  <c r="Z18" i="19"/>
  <c r="Z48" i="19"/>
  <c r="AF28" i="19"/>
  <c r="AE49" i="19"/>
  <c r="AE39" i="19"/>
  <c r="M49" i="19"/>
  <c r="AK49" i="19"/>
  <c r="AK9" i="19"/>
  <c r="Y29" i="19"/>
  <c r="AK19" i="19"/>
  <c r="S19" i="19"/>
  <c r="S9" i="19"/>
  <c r="Y9" i="19"/>
  <c r="Y19" i="19"/>
  <c r="M29" i="19"/>
  <c r="S29" i="19"/>
  <c r="AK29" i="19"/>
  <c r="Y49" i="19"/>
  <c r="AK39" i="19"/>
  <c r="M9" i="19"/>
  <c r="AE19" i="19"/>
  <c r="AE9" i="19"/>
  <c r="S49" i="19"/>
  <c r="Y39" i="19"/>
  <c r="M19" i="19"/>
  <c r="M39" i="19"/>
  <c r="AE29" i="19"/>
  <c r="S39" i="19"/>
  <c r="M44" i="19"/>
  <c r="M34" i="19"/>
  <c r="S34" i="19"/>
  <c r="AK54" i="19"/>
  <c r="AK44" i="19"/>
  <c r="AC47" i="1"/>
  <c r="AE54" i="19"/>
  <c r="M24" i="19"/>
  <c r="M54" i="19"/>
  <c r="AE24" i="19"/>
  <c r="S24" i="19"/>
  <c r="AK34" i="19"/>
  <c r="Y44" i="19"/>
  <c r="S14" i="19"/>
  <c r="AE34" i="19"/>
  <c r="Y14" i="19"/>
  <c r="S54" i="19"/>
  <c r="AE14" i="19"/>
  <c r="Y24" i="19"/>
  <c r="M14" i="19"/>
  <c r="AK14" i="19"/>
  <c r="S44" i="19"/>
  <c r="AE44" i="19"/>
  <c r="Y54" i="19"/>
  <c r="Y34" i="19"/>
  <c r="AK24" i="19"/>
  <c r="AJ51" i="19"/>
  <c r="R11" i="19"/>
  <c r="AJ31" i="19"/>
  <c r="L41" i="19"/>
  <c r="AJ41" i="19"/>
  <c r="R41" i="19"/>
  <c r="AJ21" i="19"/>
  <c r="AD11" i="19"/>
  <c r="L31" i="19"/>
  <c r="AD21" i="19"/>
  <c r="AD41" i="19"/>
  <c r="X51" i="19"/>
  <c r="X11" i="19"/>
  <c r="AJ11" i="19"/>
  <c r="X21" i="19"/>
  <c r="X41" i="19"/>
  <c r="X31" i="19"/>
  <c r="AD31" i="19"/>
  <c r="AD51" i="19"/>
  <c r="R21" i="19"/>
  <c r="L51" i="19"/>
  <c r="L21" i="19"/>
  <c r="R31" i="19"/>
  <c r="L11" i="19"/>
  <c r="R51" i="19"/>
  <c r="P54" i="19"/>
  <c r="J54" i="19"/>
  <c r="P14" i="19"/>
  <c r="J24" i="19"/>
  <c r="AB14" i="19"/>
  <c r="V54" i="19"/>
  <c r="AB24" i="19"/>
  <c r="AH34" i="19"/>
  <c r="J14" i="19"/>
  <c r="V44" i="19"/>
  <c r="AC44" i="1"/>
  <c r="AB44" i="19"/>
  <c r="P24" i="19"/>
  <c r="V14" i="19"/>
  <c r="AB34" i="19"/>
  <c r="J44" i="19"/>
  <c r="AH54" i="19"/>
  <c r="AH44" i="19"/>
  <c r="AH24" i="19"/>
  <c r="V34" i="19"/>
  <c r="V24" i="19"/>
  <c r="AH14" i="19"/>
  <c r="J34" i="19"/>
  <c r="P34" i="19"/>
  <c r="P44" i="19"/>
  <c r="AB54" i="19"/>
  <c r="J39" i="19"/>
  <c r="AH9" i="19"/>
  <c r="J49" i="19"/>
  <c r="J9" i="19"/>
  <c r="AB39" i="19"/>
  <c r="J29" i="19"/>
  <c r="P19" i="19"/>
  <c r="AH49" i="19"/>
  <c r="J19" i="19"/>
  <c r="V49" i="19"/>
  <c r="P39" i="19"/>
  <c r="V29" i="19"/>
  <c r="AH39" i="19"/>
  <c r="V39" i="19"/>
  <c r="AB29" i="19"/>
  <c r="AH29" i="19"/>
  <c r="AC36" i="1"/>
  <c r="V9" i="19"/>
  <c r="P49" i="19"/>
  <c r="AB19" i="19"/>
  <c r="AB9" i="19"/>
  <c r="P29" i="19"/>
  <c r="AB49" i="19"/>
  <c r="V19" i="19"/>
  <c r="AH19" i="19"/>
  <c r="P9" i="19"/>
  <c r="W43" i="19"/>
  <c r="AC39" i="1"/>
  <c r="Q13" i="19"/>
  <c r="Q53" i="19"/>
  <c r="AI23" i="19"/>
  <c r="AI13" i="19"/>
  <c r="AI53" i="19"/>
  <c r="K53" i="19"/>
  <c r="Q43" i="19"/>
  <c r="AC43" i="19"/>
  <c r="AI33" i="19"/>
  <c r="W23" i="19"/>
  <c r="AC53" i="19"/>
  <c r="AC33" i="19"/>
  <c r="W33" i="19"/>
  <c r="K33" i="19"/>
  <c r="K43" i="19"/>
  <c r="Q33" i="19"/>
  <c r="AC23" i="19"/>
  <c r="AC13" i="19"/>
  <c r="AI43" i="19"/>
  <c r="Q23" i="19"/>
  <c r="K13" i="19"/>
  <c r="W13" i="19"/>
  <c r="K23" i="19"/>
  <c r="W53" i="19"/>
  <c r="X10" i="19"/>
  <c r="R20" i="19"/>
  <c r="X20" i="19"/>
  <c r="AJ30" i="19"/>
  <c r="R40" i="19"/>
  <c r="L10" i="19"/>
  <c r="AJ50" i="19"/>
  <c r="L30" i="19"/>
  <c r="AJ10" i="19"/>
  <c r="AJ40" i="19"/>
  <c r="L40" i="19"/>
  <c r="R50" i="19"/>
  <c r="AD50" i="19"/>
  <c r="X30" i="19"/>
  <c r="AD10" i="19"/>
  <c r="AD20" i="19"/>
  <c r="X40" i="19"/>
  <c r="X50" i="19"/>
  <c r="R30" i="19"/>
  <c r="AD40" i="19"/>
  <c r="AJ20" i="19"/>
  <c r="L20" i="19"/>
  <c r="L50" i="19"/>
  <c r="AD30" i="19"/>
  <c r="R10" i="19"/>
  <c r="Y47" i="19"/>
  <c r="Y27" i="19"/>
  <c r="M7" i="19"/>
  <c r="S7" i="19"/>
  <c r="M47" i="19"/>
  <c r="M37" i="19"/>
  <c r="M17" i="19"/>
  <c r="S17" i="19"/>
  <c r="AE17" i="19"/>
  <c r="AE47" i="19"/>
  <c r="AK7" i="19"/>
  <c r="AK17" i="19"/>
  <c r="AK27" i="19"/>
  <c r="Y17" i="19"/>
  <c r="AK47" i="19"/>
  <c r="S37" i="19"/>
  <c r="Y37" i="19"/>
  <c r="M27" i="19"/>
  <c r="AE7" i="19"/>
  <c r="S47" i="19"/>
  <c r="S27" i="19"/>
  <c r="Y7" i="19"/>
  <c r="AE27" i="19"/>
  <c r="AE37" i="19"/>
  <c r="AK37" i="19"/>
  <c r="AE8" i="19"/>
  <c r="Y48" i="19"/>
  <c r="AE48" i="19"/>
  <c r="AE38" i="19"/>
  <c r="M8" i="19"/>
  <c r="Y18" i="19"/>
  <c r="M38" i="19"/>
  <c r="Y8" i="19"/>
  <c r="AK8" i="19"/>
  <c r="AE18" i="19"/>
  <c r="M28" i="19"/>
  <c r="Y38" i="19"/>
  <c r="AK48" i="19"/>
  <c r="AK38" i="19"/>
  <c r="M48" i="19"/>
  <c r="AK28" i="19"/>
  <c r="Y28" i="19"/>
  <c r="S8" i="19"/>
  <c r="S18" i="19"/>
  <c r="S48" i="19"/>
  <c r="AK18" i="19"/>
  <c r="M18" i="19"/>
  <c r="S38" i="19"/>
  <c r="AE28" i="19"/>
  <c r="S28" i="19"/>
  <c r="AC40" i="1"/>
  <c r="AJ53" i="19"/>
  <c r="AD23" i="19"/>
  <c r="X23" i="19"/>
  <c r="L33" i="19"/>
  <c r="AJ33" i="19"/>
  <c r="AJ43" i="19"/>
  <c r="R33" i="19"/>
  <c r="L23" i="19"/>
  <c r="AJ23" i="19"/>
  <c r="AD33" i="19"/>
  <c r="R43" i="19"/>
  <c r="X43" i="19"/>
  <c r="R53" i="19"/>
  <c r="X33" i="19"/>
  <c r="AD53" i="19"/>
  <c r="X53" i="19"/>
  <c r="AD43" i="19"/>
  <c r="R23" i="19"/>
  <c r="L53" i="19"/>
  <c r="X13" i="19"/>
  <c r="L43" i="19"/>
  <c r="R13" i="19"/>
  <c r="AD13" i="19"/>
  <c r="AJ13" i="19"/>
  <c r="L13" i="19"/>
  <c r="R36" i="19"/>
  <c r="AD6" i="19"/>
  <c r="AJ36" i="19"/>
  <c r="L46" i="19"/>
  <c r="AD36" i="19"/>
  <c r="R26" i="19"/>
  <c r="AJ16" i="19"/>
  <c r="AD16" i="19"/>
  <c r="R16" i="19"/>
  <c r="L36" i="19"/>
  <c r="L16" i="19"/>
  <c r="L26" i="19"/>
  <c r="AD46" i="19"/>
  <c r="X6" i="19"/>
  <c r="X36" i="19"/>
  <c r="AD26" i="19"/>
  <c r="X26" i="19"/>
  <c r="AJ26" i="19"/>
  <c r="X16" i="19"/>
  <c r="R46" i="19"/>
  <c r="X46" i="19"/>
  <c r="L6" i="19"/>
  <c r="AJ46" i="19"/>
  <c r="AJ6" i="19"/>
  <c r="R6" i="19"/>
  <c r="AM31" i="19"/>
  <c r="O41" i="19"/>
  <c r="AA51" i="19"/>
  <c r="AG51" i="19"/>
  <c r="U11" i="19"/>
  <c r="U51" i="19"/>
  <c r="AA41" i="19"/>
  <c r="AG31" i="19"/>
  <c r="U31" i="19"/>
  <c r="AM11" i="19"/>
  <c r="U41" i="19"/>
  <c r="AA11" i="19"/>
  <c r="O11" i="19"/>
  <c r="U21" i="19"/>
  <c r="AG21" i="19"/>
  <c r="O51" i="19"/>
  <c r="AM21" i="19"/>
  <c r="AM41" i="19"/>
  <c r="AA21" i="19"/>
  <c r="O31" i="19"/>
  <c r="O21" i="19"/>
  <c r="AA31" i="19"/>
  <c r="AM51" i="19"/>
  <c r="AG11" i="19"/>
  <c r="AG41" i="19"/>
  <c r="K35" i="19"/>
  <c r="Q15" i="19"/>
  <c r="K15" i="19"/>
  <c r="AI55" i="19"/>
  <c r="K45" i="19"/>
  <c r="AI35" i="19"/>
  <c r="AC45" i="19"/>
  <c r="AI45" i="19"/>
  <c r="Q55" i="19"/>
  <c r="Q25" i="19"/>
  <c r="K55" i="19"/>
  <c r="AC55" i="19"/>
  <c r="Q45" i="19"/>
  <c r="AC15" i="19"/>
  <c r="W15" i="19"/>
  <c r="W35" i="19"/>
  <c r="AC25" i="19"/>
  <c r="K25" i="19"/>
  <c r="W45" i="19"/>
  <c r="AI15" i="19"/>
  <c r="Q35" i="19"/>
  <c r="AC35" i="19"/>
  <c r="AI25" i="19"/>
  <c r="W25" i="19"/>
  <c r="AC51" i="1"/>
  <c r="W55" i="19"/>
  <c r="AE25" i="19"/>
  <c r="AE45" i="19"/>
  <c r="Y25" i="19"/>
  <c r="AC53" i="1"/>
  <c r="Y15" i="19"/>
  <c r="AE15" i="19"/>
  <c r="Y35" i="19"/>
  <c r="AK45" i="19"/>
  <c r="Y45" i="19"/>
  <c r="M25" i="19"/>
  <c r="AE55" i="19"/>
  <c r="AE35" i="19"/>
  <c r="S55" i="19"/>
  <c r="M35" i="19"/>
  <c r="AK25" i="19"/>
  <c r="M55" i="19"/>
  <c r="S35" i="19"/>
  <c r="S25" i="19"/>
  <c r="S15" i="19"/>
  <c r="AK15" i="19"/>
  <c r="S45" i="19"/>
  <c r="M45" i="19"/>
  <c r="AK35" i="19"/>
  <c r="AK55" i="19"/>
  <c r="M15" i="19"/>
  <c r="Y55" i="19"/>
  <c r="AJ35" i="19"/>
  <c r="X55" i="19"/>
  <c r="X35" i="19"/>
  <c r="X45" i="19"/>
  <c r="L35" i="19"/>
  <c r="R35" i="19"/>
  <c r="AJ15" i="19"/>
  <c r="L15" i="19"/>
  <c r="AJ25" i="19"/>
  <c r="AD55" i="19"/>
  <c r="X15" i="19"/>
  <c r="L25" i="19"/>
  <c r="AJ45" i="19"/>
  <c r="R15" i="19"/>
  <c r="R55" i="19"/>
  <c r="AD25" i="19"/>
  <c r="L55" i="19"/>
  <c r="AD15" i="19"/>
  <c r="L45" i="19"/>
  <c r="AD45" i="19"/>
  <c r="X25" i="19"/>
  <c r="AD35" i="19"/>
  <c r="AJ55" i="19"/>
  <c r="R25" i="19"/>
  <c r="R45" i="19"/>
  <c r="AC52" i="1"/>
  <c r="AF19" i="19"/>
  <c r="Z9" i="19"/>
  <c r="T49" i="19"/>
  <c r="N29" i="19"/>
  <c r="Z49" i="19"/>
  <c r="AL29" i="19"/>
  <c r="N19" i="19"/>
  <c r="T19" i="19"/>
  <c r="AL39" i="19"/>
  <c r="Z39" i="19"/>
  <c r="AL49" i="19"/>
  <c r="N39" i="19"/>
  <c r="AL9" i="19"/>
  <c r="Z29" i="19"/>
  <c r="AF49" i="19"/>
  <c r="AF9" i="19"/>
  <c r="T9" i="19"/>
  <c r="T39" i="19"/>
  <c r="AL19" i="19"/>
  <c r="T29" i="19"/>
  <c r="AF39" i="19"/>
  <c r="Z19" i="19"/>
  <c r="N49" i="19"/>
  <c r="N9" i="19"/>
  <c r="AF29" i="19"/>
  <c r="Q30" i="19"/>
  <c r="K30" i="19"/>
  <c r="AI10" i="19"/>
  <c r="K40" i="19"/>
  <c r="AI20" i="19"/>
  <c r="AI30" i="19"/>
  <c r="Q50" i="19"/>
  <c r="K50" i="19"/>
  <c r="AC30" i="19"/>
  <c r="AC50" i="19"/>
  <c r="K10" i="19"/>
  <c r="K20" i="19"/>
  <c r="Q10" i="19"/>
  <c r="Q40" i="19"/>
  <c r="AC10" i="19"/>
  <c r="AC40" i="19"/>
  <c r="AC20" i="19"/>
  <c r="W10" i="19"/>
  <c r="W30" i="19"/>
  <c r="W50" i="19"/>
  <c r="Q20" i="19"/>
  <c r="W20" i="19"/>
  <c r="AI40" i="19"/>
  <c r="W40" i="19"/>
  <c r="AI50" i="19"/>
  <c r="Y41" i="19"/>
  <c r="AK21" i="19"/>
  <c r="M21" i="19"/>
  <c r="M11" i="19"/>
  <c r="M41" i="19"/>
  <c r="AK31" i="19"/>
  <c r="AE31" i="19"/>
  <c r="Y21" i="19"/>
  <c r="Y11" i="19"/>
  <c r="AK41" i="19"/>
  <c r="AE41" i="19"/>
  <c r="S41" i="19"/>
  <c r="S31" i="19"/>
  <c r="AE21" i="19"/>
  <c r="AK11" i="19"/>
  <c r="M51" i="19"/>
  <c r="AE51" i="19"/>
  <c r="Y31" i="19"/>
  <c r="M31" i="19"/>
  <c r="Y51" i="19"/>
  <c r="AK51" i="19"/>
  <c r="S11" i="19"/>
  <c r="AE11" i="19"/>
  <c r="S51" i="19"/>
  <c r="S21" i="19"/>
  <c r="AI47" i="19" l="1"/>
  <c r="AC17" i="19"/>
  <c r="W7" i="19"/>
  <c r="Q17" i="19"/>
  <c r="K47" i="19"/>
  <c r="K7" i="19"/>
  <c r="W27" i="19"/>
  <c r="AC7" i="19"/>
  <c r="W47" i="19"/>
  <c r="AI17" i="19"/>
  <c r="K27" i="19"/>
  <c r="K37" i="19"/>
  <c r="AC27" i="19"/>
  <c r="AI27" i="19"/>
  <c r="Q37" i="19"/>
  <c r="Q7" i="19"/>
  <c r="AI37" i="19"/>
  <c r="W17" i="19"/>
  <c r="AC37" i="19"/>
  <c r="AC47" i="19"/>
  <c r="AI7" i="19"/>
  <c r="W37" i="19"/>
  <c r="Q27" i="19"/>
  <c r="K17" i="19"/>
  <c r="X37" i="19"/>
  <c r="AJ17" i="19"/>
  <c r="AJ47" i="19"/>
  <c r="L37" i="19"/>
  <c r="X17" i="19"/>
  <c r="R37" i="19"/>
  <c r="AD27" i="19"/>
  <c r="AD37" i="19"/>
  <c r="AJ27" i="19"/>
  <c r="X27" i="19"/>
  <c r="L27" i="19"/>
  <c r="AJ7" i="19"/>
  <c r="L7" i="19"/>
  <c r="L17" i="19"/>
  <c r="X47" i="19"/>
  <c r="AD7" i="19"/>
  <c r="R7" i="19"/>
  <c r="R17" i="19"/>
  <c r="L47" i="19"/>
  <c r="AD17" i="19"/>
  <c r="R47" i="19"/>
  <c r="AJ37" i="19"/>
  <c r="AD47" i="19"/>
  <c r="R27" i="19"/>
  <c r="X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<sst xmlns="http://schemas.openxmlformats.org/spreadsheetml/2006/main" count="503" uniqueCount="342">
  <si>
    <t>Matriz Mapa de Riesgos</t>
  </si>
  <si>
    <t>|</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</si>
  <si>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</si>
  <si>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</si>
  <si>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Instructivo
-   </t>
    </r>
    <r>
      <rPr>
        <b/>
        <sz val="11"/>
        <rFont val="Arial Narrow"/>
        <family val="2"/>
      </rPr>
      <t xml:space="preserve">Hoja 1 Contexto del proceso:  </t>
    </r>
    <r>
      <rPr>
        <sz val="11"/>
        <rFont val="Arial Narrow"/>
        <family val="2"/>
      </rPr>
      <t xml:space="preserve">Diligenciar analisis DOFA para cada proceso </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</si>
  <si>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</si>
  <si>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</si>
  <si>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</si>
  <si>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</si>
  <si>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</si>
  <si>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</si>
  <si>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</si>
  <si>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</si>
  <si>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</si>
  <si>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</si>
  <si>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</si>
  <si>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</si>
  <si>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</si>
  <si>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</si>
  <si>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</si>
  <si>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</si>
  <si>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</si>
  <si>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</si>
  <si>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</si>
  <si>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</si>
  <si>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</si>
  <si>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</si>
  <si>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</si>
  <si>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</si>
  <si>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</si>
  <si>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</si>
  <si>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</si>
  <si>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</si>
  <si>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</si>
  <si>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</si>
  <si>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</si>
  <si>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</si>
  <si>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</si>
  <si>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</si>
  <si>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</si>
  <si>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</si>
  <si>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</si>
  <si>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</si>
  <si>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</si>
  <si>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</si>
  <si>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</si>
  <si>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</si>
  <si>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</si>
  <si>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</si>
  <si>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</si>
  <si>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</si>
  <si>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</si>
  <si>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</si>
  <si>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</si>
  <si>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</si>
  <si>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</si>
  <si>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</si>
  <si>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</si>
  <si>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</si>
  <si>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</si>
  <si>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ANÁLISIS DOFA        </t>
  </si>
  <si>
    <t>Origen Interno</t>
  </si>
  <si>
    <t>Fortalezas</t>
  </si>
  <si>
    <t>Debilidades</t>
  </si>
  <si>
    <t xml:space="preserve">F1.  Sistema de gestión implementado, que permite identificar aspectos por mejorar en cada uno de los procesos. </t>
  </si>
  <si>
    <t>D1.  Falta de herramientas tecnológicas adecuadas que faciliten la labor de seguimiento a la implementación de los lineamientos de la Planeación Institucional, el Sistema de Gestión,  el MIPG, para la entrega de los resultados de una manera mas oportuna y que permita el análisis de datos.</t>
  </si>
  <si>
    <t>F2.  Herramientas de planeación implementadas con la participación activa de todos los niveles y líneas de defensa en la Entidad</t>
  </si>
  <si>
    <t>F3.  Articulación de la gestión institucional con todos los procesos.</t>
  </si>
  <si>
    <t>D3. Baja apropiación de los intrumentos de planeación por parte de algunos de los colaboradores de la Entidad.</t>
  </si>
  <si>
    <t>F4.  Compromiso de todos los procesos frente al logro de los objetivos establecidos.</t>
  </si>
  <si>
    <t>D4.  Alta rotación en el equipo de promotores de mejora, que  genera reprocesos frente a la formación, capacitación y sensibilización que se realiza de manera continua.</t>
  </si>
  <si>
    <t>F5. Monitoreo de la gestión institucional a intervalos planificados  cumpliendo con la periodicidad establecida</t>
  </si>
  <si>
    <t xml:space="preserve">Falta un sistema de información unificado que permita gestionar la información del Sistema de Gestión  de manera, ágil, eficiente y eficaz; que conserve la trazabilidad de los datos. </t>
  </si>
  <si>
    <t>Origen Externo</t>
  </si>
  <si>
    <t>Oportunidades</t>
  </si>
  <si>
    <t>Amenazas</t>
  </si>
  <si>
    <t xml:space="preserve">O1  Existencia de sistemas de información en el mercado que permiten sistematizar las distintas herramientas tanto de la planeación institucional como la operación y control de todos los procesos del sistema de gestión en las etapas de formulación, implementación, monitoreo y seguimiento. </t>
  </si>
  <si>
    <t xml:space="preserve">A1 Cambios en la normatividad y lineamientos de sistemas de gestión que afecte la planeación institucional.  </t>
  </si>
  <si>
    <t>O2 Desarrollo de nuevas estrategias y acciones de innovación para continuar fortaleciendo la articulación intra e interinstitucional</t>
  </si>
  <si>
    <t xml:space="preserve">A2. La expedición de lineamientos por parte de las entidades rectoras  de manera desatirculada,  inoportuna o insuficiente  frente a nuevas  situaciones coyunturales que afecten la planeación institucional y/o el Sistema de Gestión. </t>
  </si>
  <si>
    <t>D3  Identificación e implementación de mejores prácticas para la planeación institucional.</t>
  </si>
  <si>
    <t>MATRIZ MAPA DE RIESGO</t>
  </si>
  <si>
    <t>Código</t>
  </si>
  <si>
    <t>PLE-PIN-F001</t>
  </si>
  <si>
    <t>Versión</t>
  </si>
  <si>
    <t>Vigencia</t>
  </si>
  <si>
    <t>27 de abril de 2022</t>
  </si>
  <si>
    <t>Caso HOLA:</t>
  </si>
  <si>
    <t>CONTROL DE CAMBIOS MATRIZ DE RIESGOS</t>
  </si>
  <si>
    <t>VERSIÓN</t>
  </si>
  <si>
    <t>FECHA</t>
  </si>
  <si>
    <t>DESCRIPCIÓN DE LA MODIFICACIÓN</t>
  </si>
  <si>
    <t>Primera identificación de riesgos del proceso</t>
  </si>
  <si>
    <t>Se ajustan las causas y controles de los riesgos. Tambien modifica la valoración de los riesgos. Se incluyen en el nuevo formato de matriz de riesgos</t>
  </si>
  <si>
    <t>Se adicionana nuevos riesgos y se modifica la valoración y los controles establecidos de los riesgos anteriores. Se incluyen en el nuevo formato de matriz de riesgos</t>
  </si>
  <si>
    <t>Se unifican riesgos con eventos y causas similares y se establecen nuevos riesgos de acuerdo a realidad actual de la entidad</t>
  </si>
  <si>
    <t>Se actualizan los eventos con sus respectivas causas similares y se esgtablecen nuevos reisgos de acuerdo a realidadad actual de la entidad.</t>
  </si>
  <si>
    <t>Se presento la materialización del riesgo número 3 por lo que la calificación de la probabilidad pasó de baja a alta. Se especifican los controles establecidos en los riesgos 4 y 5. Se eleva la probabilidad de ocurrencia del riesgo 6, pasa de media a alta.</t>
  </si>
  <si>
    <t xml:space="preserve">Se actualiza la matriz de riesgos del proceso de manera general en todos los elementos de las etapas de identificación, análisis evaluación y tratamiento de acuerdo con la versión 1  de la metodología de gestión del riesgo , de escrito en el documento PLE-PIN -M001, versión 1 (manual de gestión del riesgo)a partir de la matriz de riesgos con código 1D-PGE-MR001 perteneciente al antiguo proceso denominado planeación y gerencia  estratégica </t>
  </si>
  <si>
    <t>Ajuste y actualización a la matriz de acuerdo con la guía del DAFP V4 -2018 a través del manual de gestión del riesgo versión 11- 2019, se ingresa las columnas para las características y la evaluación de los controles. Se unifican los R1 y el R4, se retira el riesgo 5 y se asocia al proceso de gestión del conocimiento., se incluyen dos riesgos ambientales.Se reformulan los controles de acuerdo a la nueva metodología y se unifican controles.</t>
  </si>
  <si>
    <t>Se traslada la información de la matriz del proceso de Planeación Institucional  V3 2019 al formato de matriz por proceso versión 4  2020 publicado en MATIZ, se realiza mesa técnica con los líderes del proceso y promotores de mejora para su aprobación, modificación y valoración de la nueva formulación y ajuste realizado al resultado del riesgo residual. Se actualiza contexto del proceso de acuerdo al Plan Distrital de Desarrollo vigente. Se actualiza redacción de causas, consecuencias y  controles.</t>
  </si>
  <si>
    <t>Se realiza actualización de matriz de riesgos de gestión de acuerdo con los lineamientos establecidos en el Manual de Gestión del Riesgo PLE-PIN-M001 versión 6. Se realizó a través de mesa de trabajo a la que asistió el promotor de mejora y las líderes de los grupos de proyectos de inversión y gestión ambiental con el acompañamiento técnico del grupo de riesgos de la Oficina Asesora de Planeación. Se aprobó bajo caso HOLA N. 238128</t>
  </si>
  <si>
    <t>Teniendo en cuenta la actualización realizada por el Grupo de Planeación Institucional y Sectorial al Manual de Elaboración y Control de Documentos del Sistema de Gestión PLE-PIN-M003, mediante la cual se eliminó el doble control para la revisión de los documentos en la OAP (normalización de documentos), se hace necesario realizar la actualización de la Matriz de Riesgos del Proceso Planeación Institucional, eliminando el control No. 3 para el riesgo No. 2: "Diseñar/implementar metodologías y herramientas de fortalecimiento y articulación de la gestión que no sean claras o apropiadas para la gestión de la entidad". Se aprobó bajo caso HOLA No. 281129</t>
  </si>
  <si>
    <t>Se realiza actualización de la redacción de los riesgos 1 y 2, actualización de los controles y calificación de sus atributos, a través de mesa de trabajo con el equipo de Planeación Institucional de la Oficina Asesora de Planeación y con el apoyo metodológico del grupo de gestión de riesgos. Se aprobó bajo caso HOLA No. 306035</t>
  </si>
  <si>
    <t>NOTA: Para el diligenciamiento de esta matriz tenga en cuenta el manual "Gestión del Riesgo" PLE-PIN-M001</t>
  </si>
  <si>
    <t>Proceso:</t>
  </si>
  <si>
    <t>Planeación Institucional</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</si>
  <si>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</si>
  <si>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</si>
  <si>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</si>
  <si>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</si>
  <si>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</si>
  <si>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</si>
  <si>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</si>
  <si>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</si>
  <si>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</si>
  <si>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</si>
  <si>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</si>
  <si>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</si>
  <si>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</si>
  <si>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</si>
  <si>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</si>
  <si>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</si>
  <si>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</si>
  <si>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</si>
  <si>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</si>
  <si>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</si>
  <si>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</si>
  <si>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</si>
  <si>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</si>
  <si>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</si>
  <si>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</si>
  <si>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</si>
  <si>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</si>
  <si>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</si>
  <si>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</si>
  <si>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</si>
  <si>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</si>
  <si>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Ausencia de lineamientos metodológicos internos sobre la periodicidad, mecanismos de participación para la revisión y actualización del direccionamiento estratégico</t>
  </si>
  <si>
    <t>Ausencia de lineamientos metodológicos internos sobre la periodicidad, mecanismos de participación para la revisión y actualización del direccionamiento estratégico y/o incumplimiento o falta de seguimiento al cronograma para la formulación del direccionamineto estratégico de la entidad</t>
  </si>
  <si>
    <t>Posibilidad de afectación reputacional por la formulación de los elementos del direccionamiento estratégico de manera  inoportuna, con insuficiente participación y desarticulada a los demás elementos de planeación de la Entidad</t>
  </si>
  <si>
    <t>Ejecución y Administración de Procesos</t>
  </si>
  <si>
    <t xml:space="preserve">     El riesgo afecta la imagen de la entidad internamente, de conocimiento general, nivel interno, de junta dircetiva y accionistas y/o de provedores</t>
  </si>
  <si>
    <t xml:space="preserve">El jefe de la Oficina Asesora de Planeación y el grupo Planeación Institucional realiza cuatrienalmente la revisión de la formulación del direccionamiento estratégico de la entidad para validar la consistencia metodológica del Plan Estratégico Institucional. En caso de desviación del control se solicitan los ajustes correspondientes a la dependencia responsable. Como registro de la ejecución del control quedan las comunicaciones oficiales, correos electrónicos, evidencias de reunión, el plan estratégico institucional y la resolución que lo adopta. </t>
  </si>
  <si>
    <t>Preventivo</t>
  </si>
  <si>
    <t>Manual</t>
  </si>
  <si>
    <t>Documentado</t>
  </si>
  <si>
    <t>Continua</t>
  </si>
  <si>
    <t>Con Registro</t>
  </si>
  <si>
    <t>Aceptar</t>
  </si>
  <si>
    <t>Incumplimiento de los términos para la formulación del direccionamiento estratégico de la Entidad.</t>
  </si>
  <si>
    <t xml:space="preserve">El comité directivo con  la asesoría del equipo de planeación, en mesa de trabajo, revisa y valida de manera cuatrienal  la Plataforma Estratégica para garantizar que cumpla con las normas asociadas a la misionalidad de la entidad y con la línea estratégica de la administración distrital. En caso de que no cumpla se solicita al responsable realizar los ajustes correspondientes; como evidencia de la ejecución del control queda el acta del comité directivo. </t>
  </si>
  <si>
    <t>No existe un mecanismo que
permita conocer oportunamente los cambios normativos y lineamientos técnicos</t>
  </si>
  <si>
    <t>Insuficientes mecanismos para la evualuación y mejoramiento de las herramientas de fortalecimiento y articulación de la gestión institucional</t>
  </si>
  <si>
    <t>Posibilidad de afectación reputacional por la inadecuada implementación de metodologías y  herramientas  de fortalecimiento y articulación de la gestión de la entidad</t>
  </si>
  <si>
    <t xml:space="preserve">     El riesgo afecta la imagen de alguna área de la organización</t>
  </si>
  <si>
    <t>El analista asignado cada vez que recibe un documento, plan de gestión, matriz de riesgos y/o demás herramientas de planeación, realiza un acompañamiento y revisión metodológica validando el cumplimiento de la metodología establecida. En caso de identificar inconsistencias en la implementación de las metodologías envía una comunicación al responsable asignado para que haga las correcciones del caso. Como evidencia de la ejecución del control quedan las evidencias de reunión, correos electrónicos o medio de comunicación oficial.</t>
  </si>
  <si>
    <t>Demora en la entrega de información de ejecución  presupuestal y física por parte de los responsables del la SDG</t>
  </si>
  <si>
    <t>Desconocimiento de los instrumentos de planeación estratégica(Políticas públicas, planes de desarrollo, misionalidad, etc.), y de los principios conceptuales para la formulación, implementación y seguimiento de proyectos de inversión en el ámbito de  las entidades públicas por parte de los involucrados en el desarrollo de las actividades asociadas</t>
  </si>
  <si>
    <t>Realizar una gestión a los proyectos de inversión de manera inadecuada y fuera de tiempos afectando el cumplimiento de las metas Plan de Desarrollo y compromisos propuestos</t>
  </si>
  <si>
    <t xml:space="preserve">     El riesgo afecta la imagen de la entidad con algunos usuarios de relevancia frente al logro de los objetivos</t>
  </si>
  <si>
    <t>El analista del proyecto asignado revisa y valida mensualmente el informe ejecutivo remitido por la gerencia del proyecto de inversión en términos de consistencia, coherencia y calidad de la información; lo anterior teniendo en cuenta la concordancia con el Plan de Desarrollo Distrital vigente, los componentes técnicos y los requerimientos de los sistemas de información. En caso de presentarse alguna inconsistencia, se retroalimentará el informe ejecutivo, para gestionar los ajustes correspondientes por parte del gerente del proyecto antes de la oficialización del documento.
Una vez hechos los ajustes al informe se valida, como evidencia de la ejecución del control quedan las comunicaciones vía correo electrónico.</t>
  </si>
  <si>
    <t>Automático</t>
  </si>
  <si>
    <t>Desconocimiento de la entrada en vigencia o derogación de un  requisito</t>
  </si>
  <si>
    <t>Cambio en requisitos legales y otros aplicables del Sistema de Gestión Ambiental que no se contemplen en la matriz normativa de la entidad</t>
  </si>
  <si>
    <t>El profesional ambiental semestralmente realiza revisión del cumplimiento de requisitos legales y otros aplicables al Sistema de Gestión Ambiental, en caso de evidenciar que falta o se deroga una norma se realizará inmediatamente su modificación, como evidencia de la ejecución del control queda la Matriz Normativa Ambiental publicada en la intranet.</t>
  </si>
  <si>
    <t>Detectivo</t>
  </si>
  <si>
    <t>Desconocimiento de la normatividad ambiental y lineamientos establecidos en la entidad para la ejecución de controles operacionales.</t>
  </si>
  <si>
    <t>Desconocimiento de los lineamientos establecidos en la entidad para la ejecución de controles operacionales.</t>
  </si>
  <si>
    <t>Debilidades en la implementación  de controles operacionales a los aspectos ambientales establecidos para la entidad en la matriz de identificación de aspectos ambientales y valoración de impactos ambientales.</t>
  </si>
  <si>
    <t>El profesional ambiental revisa anualmente la matriz de identificación de aspectos e impactos ambientales,   verificando los controles operacionales asociados a cada aspecto ambiental y registra la revisión en el control de cambios, en caso de identificar que un control operacional no se ejecuta adecuadamente, se realizará el ajuste correspondiente. Como evidencia de la ejecución del control quedan los registros en los controles de cambio.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</si>
  <si>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</si>
  <si>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Económico</t>
  </si>
  <si>
    <t>Daños Activos Físicos</t>
  </si>
  <si>
    <t>Económico y Reputacional</t>
  </si>
  <si>
    <t>Fallas Tecnológicas</t>
  </si>
  <si>
    <t>Ambiental</t>
  </si>
  <si>
    <t>Fraude Externo</t>
  </si>
  <si>
    <t>Fraude Interno</t>
  </si>
  <si>
    <t>Relaciones Laborales</t>
  </si>
  <si>
    <t>Usuarios, productos y prácticas organizacionales</t>
  </si>
  <si>
    <t>Ambientales</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</si>
  <si>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</si>
  <si>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</si>
  <si>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</si>
  <si>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</si>
  <si>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</si>
  <si>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</si>
  <si>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</si>
  <si>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</si>
  <si>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</si>
  <si>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</si>
  <si>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</si>
  <si>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</si>
  <si>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</si>
  <si>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</si>
  <si>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</si>
  <si>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</si>
  <si>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</si>
  <si>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</si>
  <si>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</si>
  <si>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</si>
  <si>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</si>
  <si>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</si>
  <si>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</si>
  <si>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</si>
  <si>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</si>
  <si>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</si>
  <si>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</si>
  <si>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</si>
  <si>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</si>
  <si>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</si>
  <si>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</si>
  <si>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</si>
  <si>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Afectación Ambiental</t>
  </si>
  <si>
    <t>Insignificante</t>
  </si>
  <si>
    <t>Leve 20%</t>
  </si>
  <si>
    <t xml:space="preserve">Afectación menor a 10 SMLMV </t>
  </si>
  <si>
    <t>El riesgo afecta la imagen de alguna área de la organización</t>
  </si>
  <si>
    <t>Entre 1-12.500</t>
  </si>
  <si>
    <t>Menor</t>
  </si>
  <si>
    <t xml:space="preserve">Menor-40% </t>
  </si>
  <si>
    <t xml:space="preserve">Entre 10 y 50 SMLMV </t>
  </si>
  <si>
    <t>El riesgo afecta la imagen de la entidad internamente, de conocimiento general, nivel interno, de junta directiva y accionistas y/o de provedores</t>
  </si>
  <si>
    <t>&gt; 12.500 - 25.000</t>
  </si>
  <si>
    <t>Moderado 60%</t>
  </si>
  <si>
    <t xml:space="preserve">Entre 50 y 100 SMLMV </t>
  </si>
  <si>
    <t>El riesgo afecta la imagen de la entidad con algunos usuarios de relevancia frente al logro de los objetivos</t>
  </si>
  <si>
    <t>&gt; 25.000 – 125.000</t>
  </si>
  <si>
    <t>Mayor</t>
  </si>
  <si>
    <t>Mayor 80%</t>
  </si>
  <si>
    <t xml:space="preserve">Entre 100 y 500 SMLMV </t>
  </si>
  <si>
    <t>El riesgo afecta la imagen de de la entidad con efecto publicitario sostenido a nivel de sector administrativo, nivel departamental o municipal</t>
  </si>
  <si>
    <t>&gt; 125.000 – 500.000</t>
  </si>
  <si>
    <t>Catastrófico</t>
  </si>
  <si>
    <t>Catastrófico 100%</t>
  </si>
  <si>
    <t xml:space="preserve">Mayor a 500 SMLMV </t>
  </si>
  <si>
    <t>El riesgo afecta la imagen de la entidad a nivel nacional, con efecto publicitarios sostenible a nivel país</t>
  </si>
  <si>
    <t>&gt; 500.000 – 1.000.000</t>
  </si>
  <si>
    <t>Afectación_Económica_o_presupuestal</t>
  </si>
  <si>
    <t xml:space="preserve">     Afectación menor a 10 SMLMV .</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</si>
  <si>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</si>
  <si>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</si>
  <si>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</si>
  <si>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</si>
  <si>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</si>
  <si>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</si>
  <si>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</si>
  <si>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</si>
  <si>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</si>
  <si>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</si>
  <si>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</si>
  <si>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</si>
  <si>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t>
  </si>
  <si>
    <t>✔</t>
  </si>
  <si>
    <t>No.</t>
  </si>
  <si>
    <t>CRITERIOS DE VALORACIÓN</t>
  </si>
  <si>
    <t>ESCALA DE VALOR</t>
  </si>
  <si>
    <t>Puntual 1</t>
  </si>
  <si>
    <t>Local 5</t>
  </si>
  <si>
    <t>Regional o nacional 10</t>
  </si>
  <si>
    <t>Se refiere al área de influencia del impacto en relación con el entorno donde se genera.</t>
  </si>
  <si>
    <t>El impacto queda confinado dentro del área donde se genera.</t>
  </si>
  <si>
    <t>Trasciende los límites del área de influencia.</t>
  </si>
  <si>
    <t>Tiene consecuencias a nivel regional o trasciende los límites del Distrito.</t>
  </si>
  <si>
    <t>Baja 1</t>
  </si>
  <si>
    <t>Media 5</t>
  </si>
  <si>
    <t>Alta 10</t>
  </si>
  <si>
    <t>Se refiere a la posibilidad que se dé el impacto y está relacionada con la "REGULARIDAD" (Normal, anormal o</t>
  </si>
  <si>
    <t>Existe una posibilidad muy remota de que suceda</t>
  </si>
  <si>
    <t>Existe una posibilidad media de que suceda.</t>
  </si>
  <si>
    <t>Es muy posible que suceda en cualquier momento.</t>
  </si>
  <si>
    <t>de emergencia).</t>
  </si>
  <si>
    <t>Duración</t>
  </si>
  <si>
    <t>Breve 1</t>
  </si>
  <si>
    <t>Temporal 5</t>
  </si>
  <si>
    <t>Permanente 10</t>
  </si>
  <si>
    <t>Se refiere al tiempo que permanecerá el efecto positivo o negativo del impacto en el ambiente.</t>
  </si>
  <si>
    <t>Alteración del recurso durante un lapso muy pequeño.</t>
  </si>
  <si>
    <t>Alteración del recurso durante un lapso moderado.</t>
  </si>
  <si>
    <t>Alteración del recurso permanente en el tiempo</t>
  </si>
  <si>
    <t>Recuperabilidad</t>
  </si>
  <si>
    <t>Reversible 1</t>
  </si>
  <si>
    <t>Recuperable 5</t>
  </si>
  <si>
    <t>Irrecuperable /irreversible 10</t>
  </si>
  <si>
    <t>Se refiere a la posibilidad de reconstrucción, total o parcial del recurso afectado por el impacto.</t>
  </si>
  <si>
    <t>Puede eliminarse el efecto por medio de actividades humanas tendientes a restablecer las condiciones originales del recurso.</t>
  </si>
  <si>
    <t>Se puede disminuir el efecto a través de medidas de control hasta un estándar determinado.</t>
  </si>
  <si>
    <t>El/los recursos afectados no retornan a las condiciones originales a través de ningún medio.</t>
  </si>
  <si>
    <t>Cantidad</t>
  </si>
  <si>
    <t>Moderada 5</t>
  </si>
  <si>
    <t>Se refiere a la magnitud del impacto, es decir, la severidad con la que ocurrirá la afectación y/o riesgo sobre el recurso.</t>
  </si>
  <si>
    <t>Alteración mínima del recurso. Existe bajo potencial de riesgo sobre el recurso o el ambiente.</t>
  </si>
  <si>
    <t>Alteración moderada del recurso. Tiene un potencial de riesgo medio sobre el recurso o el ambiente.</t>
  </si>
  <si>
    <t>Alteración Significativa del recurso. Tiene efectos importantes sobre el recurso o el ambiente.</t>
  </si>
  <si>
    <t>Normatividad</t>
  </si>
  <si>
    <t>N/A</t>
  </si>
  <si>
    <t>Hace referencia a la normatividad ambiental aplicable    al    aspecto    y/o    el    impacto ambiental.</t>
  </si>
  <si>
    <t>No tiene normatividad relacionada.</t>
  </si>
  <si>
    <t>Tiene normatividad relacionada.</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</si>
  <si>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</si>
  <si>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</si>
  <si>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</si>
  <si>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</si>
  <si>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</si>
  <si>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</si>
  <si>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</si>
  <si>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</si>
  <si>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</si>
  <si>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</si>
  <si>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</si>
  <si>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</si>
  <si>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</si>
  <si>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</si>
  <si>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</si>
  <si>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</si>
  <si>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</si>
  <si>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</si>
  <si>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</si>
  <si>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</si>
  <si>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</si>
  <si>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</si>
  <si>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</si>
  <si>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Evitar</t>
  </si>
  <si>
    <t>Reducir (compartir)</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</si>
  <si>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</si>
  <si>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</si>
  <si>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</si>
  <si>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</si>
  <si>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</si>
  <si>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</si>
  <si>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</si>
  <si>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</si>
  <si>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</si>
  <si>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</si>
  <si>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</si>
  <si>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Reducir</t>
  </si>
  <si>
    <r>
      <t>D2.  Desconocimiento de los instrumentos de planeación estratégica por part</t>
    </r>
    <r>
      <rPr>
        <b/>
        <sz val="12"/>
        <color theme="0" tint="-0.34998626667073579"/>
        <rFont val="Titillium Web"/>
      </rPr>
      <t>e de algunos</t>
    </r>
    <r>
      <rPr>
        <b/>
        <sz val="12"/>
        <color rgb="FFA6A6A6"/>
        <rFont val="Titillium Web"/>
      </rPr>
      <t xml:space="preserve"> de los involucrados en el desarrollo de las actividades asociadas a proyectos de inversión</t>
    </r>
  </si>
  <si>
    <t>A3. Cambios de los sistemas de información para reporte de cumplimiento de las metas asignadas en el Plan Distrital de desarrollo o herramienta de planificación ambiental.</t>
  </si>
  <si>
    <t>Establecer los lineamientos para el diseño, ejecución, monitoreo y seguimiento de la Planeación Institucional, en los niveles estratégico, táctico y operativo, de manera articulada y participativa; cuya aplicación conduzca al logro del objeto de la Entidad.</t>
  </si>
  <si>
    <t>Aplica para la planeación de la Entidad en los niveles estratégico, táctico y operativo. Inicia con la planeación del proceso y el diseño de herramientas de gestión y finaliza con la aplicación y monitoreo de las mismas y la mejora del proceso</t>
  </si>
  <si>
    <t>Se realiza actualización del contexto del proceso, objetivo y alcance del proceso, estos dos últimos de acuerdo con la actualización de la caracterización realizada el 27 de septiembre 2023. Aprobada bajo caso HOLA No. 346589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</si>
</sst>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8"/>
      <color indexed="60"/>
      <name val="Arial"/>
      <family val="2"/>
    </font>
    <font>
      <b/>
      <sz val="48"/>
      <color indexed="60"/>
      <name val="Arial"/>
      <family val="2"/>
    </font>
    <font>
      <b/>
      <sz val="10"/>
      <name val="Arial"/>
      <family val="2"/>
    </font>
    <font>
      <b/>
      <sz val="12"/>
      <color rgb="FFA6A6A6"/>
      <name val="Titillium Web"/>
    </font>
    <font>
      <b/>
      <sz val="20"/>
      <color rgb="FFC00000"/>
      <name val="Arial Narrow"/>
      <family val="2"/>
    </font>
    <font>
      <sz val="11"/>
      <color rgb="FF000000"/>
      <name val="Calibri"/>
      <family val="2"/>
      <scheme val="minor"/>
    </font>
    <font>
      <b/>
      <sz val="48"/>
      <color rgb="FF993300"/>
      <name val="Arial"/>
      <family val="2"/>
    </font>
    <font>
      <b/>
      <sz val="18"/>
      <name val="Arial"/>
      <family val="2"/>
    </font>
    <font>
      <b/>
      <sz val="12"/>
      <name val="Arial"/>
      <family val="2"/>
    </font>
    <font>
      <sz val="10"/>
      <color rgb="FF000000"/>
      <name val="Arial"/>
      <family val="2"/>
    </font>
    <font>
      <sz val="12"/>
      <name val="Arial"/>
      <family val="2"/>
    </font>
    <font>
      <b/>
      <sz val="11"/>
      <color rgb="FF800000"/>
      <name val="Arial"/>
      <family val="2"/>
    </font>
    <font>
      <sz val="11"/>
      <color rgb="FF000000"/>
      <name val="Arial"/>
      <family val="2"/>
    </font>
    <font>
      <b/>
      <sz val="11"/>
      <color rgb="FF000000"/>
      <name val="Arial"/>
      <family val="2"/>
    </font>
    <font>
      <sz val="10"/>
      <color rgb="FFFFFFFF"/>
      <name val="Arial"/>
      <family val="2"/>
    </font>
    <font>
      <b/>
      <sz val="12"/>
      <color rgb="FFFF0000"/>
      <name val="Arial"/>
      <family val="2"/>
    </font>
    <font>
      <b/>
      <sz val="9"/>
      <color rgb="FFFFFFFF"/>
      <name val="Arial"/>
      <family val="2"/>
    </font>
    <font>
      <b/>
      <sz val="11"/>
      <name val="Arial"/>
      <family val="2"/>
    </font>
    <font>
      <b/>
      <i/>
      <sz val="14"/>
      <color rgb="FFA6A6A6"/>
      <name val="Arial"/>
      <family val="2"/>
    </font>
    <font>
      <b/>
      <sz val="28"/>
      <color rgb="FF993300"/>
      <name val="Arial"/>
      <family val="2"/>
    </font>
    <font>
      <sz val="12"/>
      <color theme="1"/>
      <name val="Garamond"/>
      <family val="1"/>
    </font>
    <font>
      <sz val="12"/>
      <color rgb="FF000000"/>
      <name val="Garamond"/>
      <family val="1"/>
    </font>
    <font>
      <b/>
      <sz val="12"/>
      <color rgb="FFFF0000"/>
      <name val="Titillium Web"/>
    </font>
    <font>
      <b/>
      <sz val="12"/>
      <color rgb="FF800000"/>
      <name val="Arial"/>
      <family val="2"/>
    </font>
    <font>
      <b/>
      <sz val="12"/>
      <color theme="0" tint="-0.34998626667073579"/>
      <name val="Titillium Web"/>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9"/>
        <bgColor indexed="64"/>
      </patternFill>
    </fill>
    <fill>
      <patternFill patternType="solid">
        <fgColor rgb="FFFFFFFF"/>
        <bgColor rgb="FF000000"/>
      </patternFill>
    </fill>
    <fill>
      <patternFill patternType="solid">
        <fgColor theme="0"/>
        <bgColor rgb="FF000000"/>
      </patternFill>
    </fill>
    <fill>
      <patternFill patternType="solid">
        <fgColor rgb="FFB8CCE4"/>
        <bgColor indexed="64"/>
      </patternFill>
    </fill>
    <fill>
      <patternFill patternType="solid">
        <fgColor rgb="FFDBE5F1"/>
        <bgColor indexed="64"/>
      </patternFill>
    </fill>
    <fill>
      <patternFill patternType="solid">
        <fgColor rgb="FFFF9900"/>
        <bgColor indexed="64"/>
      </patternFill>
    </fill>
    <fill>
      <patternFill patternType="solid">
        <fgColor rgb="FFD9D9D9"/>
        <bgColor rgb="FF000000"/>
      </patternFill>
    </fill>
    <fill>
      <patternFill patternType="solid">
        <fgColor rgb="FFA6A6A6"/>
        <bgColor rgb="FF000000"/>
      </patternFill>
    </fill>
  </fills>
  <borders count="9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thin">
        <color rgb="FFFFFFFF"/>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right/>
      <top style="medium">
        <color rgb="FF4F81BD"/>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diagonal/>
    </border>
    <border>
      <left/>
      <right style="medium">
        <color rgb="FF4F81BD"/>
      </right>
      <top/>
      <bottom style="medium">
        <color rgb="FF4F81BD"/>
      </bottom>
      <diagonal/>
    </border>
    <border>
      <left/>
      <right style="medium">
        <color rgb="FF4F81BD"/>
      </right>
      <top/>
      <bottom/>
      <diagonal/>
    </border>
    <border>
      <left style="medium">
        <color rgb="FF4F81BD"/>
      </left>
      <right/>
      <top style="medium">
        <color rgb="FF4F81BD"/>
      </top>
      <bottom style="medium">
        <color rgb="FF4F81BD"/>
      </bottom>
      <diagonal/>
    </border>
    <border>
      <left style="medium">
        <color rgb="FF4F81BD"/>
      </left>
      <right style="medium">
        <color rgb="FF4F81BD"/>
      </right>
      <top style="medium">
        <color rgb="FF4F81BD"/>
      </top>
      <bottom/>
      <diagonal/>
    </border>
    <border>
      <left/>
      <right style="medium">
        <color rgb="FF4F81BD"/>
      </right>
      <top style="medium">
        <color rgb="FF4F81BD"/>
      </top>
      <bottom/>
      <diagonal/>
    </border>
    <border>
      <left/>
      <right/>
      <top style="medium">
        <color rgb="FF4F81BD"/>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11">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3"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49" fontId="58" fillId="16" borderId="0" xfId="0" applyNumberFormat="1" applyFont="1" applyFill="1" applyAlignment="1" applyProtection="1">
      <alignment horizontal="center" vertical="center" wrapText="1"/>
      <protection locked="0"/>
    </xf>
    <xf numFmtId="49" fontId="64" fillId="17" borderId="0" xfId="0" applyNumberFormat="1" applyFont="1" applyFill="1" applyAlignment="1" applyProtection="1">
      <alignment vertical="center" wrapText="1"/>
      <protection locked="0"/>
    </xf>
    <xf numFmtId="0" fontId="62" fillId="17" borderId="0" xfId="0" applyFont="1" applyFill="1" applyProtection="1">
      <protection locked="0"/>
    </xf>
    <xf numFmtId="0" fontId="65" fillId="17" borderId="0" xfId="0" applyFont="1" applyFill="1" applyAlignment="1" applyProtection="1">
      <alignment horizontal="left" vertical="center" wrapText="1"/>
      <protection locked="0"/>
    </xf>
    <xf numFmtId="0" fontId="66" fillId="17" borderId="0" xfId="0" applyFont="1" applyFill="1" applyAlignment="1" applyProtection="1">
      <alignment vertical="center" wrapText="1"/>
      <protection locked="0"/>
    </xf>
    <xf numFmtId="0" fontId="66" fillId="17" borderId="0" xfId="0" applyFont="1" applyFill="1" applyProtection="1">
      <protection locked="0"/>
    </xf>
    <xf numFmtId="0" fontId="66" fillId="17" borderId="0" xfId="0" applyFont="1" applyFill="1" applyAlignment="1" applyProtection="1">
      <alignment horizontal="center"/>
      <protection locked="0"/>
    </xf>
    <xf numFmtId="0" fontId="62" fillId="17" borderId="0" xfId="0" applyFont="1" applyFill="1" applyAlignment="1" applyProtection="1">
      <alignment horizontal="center"/>
      <protection locked="0"/>
    </xf>
    <xf numFmtId="0" fontId="67" fillId="0" borderId="69" xfId="0" applyFont="1" applyBorder="1" applyAlignment="1" applyProtection="1">
      <alignment horizontal="right"/>
      <protection locked="0"/>
    </xf>
    <xf numFmtId="0" fontId="69" fillId="17" borderId="0" xfId="0" applyFont="1" applyFill="1" applyAlignment="1" applyProtection="1">
      <alignment horizontal="center" vertical="center" wrapText="1"/>
      <protection locked="0"/>
    </xf>
    <xf numFmtId="14" fontId="67" fillId="0" borderId="69" xfId="0" applyNumberFormat="1" applyFont="1" applyBorder="1" applyAlignment="1" applyProtection="1">
      <alignment horizontal="right"/>
      <protection locked="0"/>
    </xf>
    <xf numFmtId="0" fontId="69" fillId="17" borderId="0" xfId="0" applyFont="1" applyFill="1" applyAlignment="1" applyProtection="1">
      <alignment vertical="center" wrapText="1"/>
      <protection locked="0"/>
    </xf>
    <xf numFmtId="0" fontId="70" fillId="17" borderId="0" xfId="0" applyFont="1" applyFill="1" applyAlignment="1" applyProtection="1">
      <alignment vertical="center" wrapText="1"/>
      <protection locked="0"/>
    </xf>
    <xf numFmtId="0" fontId="65" fillId="17" borderId="0" xfId="0" applyFont="1" applyFill="1" applyAlignment="1" applyProtection="1">
      <alignment horizontal="center" vertical="center" wrapText="1"/>
      <protection locked="0"/>
    </xf>
    <xf numFmtId="0" fontId="62" fillId="17" borderId="0" xfId="0" applyFont="1" applyFill="1" applyAlignment="1" applyProtection="1">
      <alignment horizontal="center" vertical="center"/>
      <protection locked="0"/>
    </xf>
    <xf numFmtId="0" fontId="66" fillId="17" borderId="0" xfId="0" applyFont="1" applyFill="1" applyAlignment="1" applyProtection="1">
      <alignment horizontal="center" vertical="center" wrapText="1"/>
      <protection locked="0"/>
    </xf>
    <xf numFmtId="0" fontId="66" fillId="17" borderId="0" xfId="0" applyFont="1" applyFill="1" applyAlignment="1" applyProtection="1">
      <alignment horizontal="center" vertical="center"/>
      <protection locked="0"/>
    </xf>
    <xf numFmtId="0" fontId="71" fillId="17" borderId="0" xfId="0" applyFont="1" applyFill="1" applyAlignment="1" applyProtection="1">
      <alignment horizontal="center" vertical="center"/>
      <protection locked="0"/>
    </xf>
    <xf numFmtId="2" fontId="67" fillId="17" borderId="0" xfId="0" applyNumberFormat="1" applyFont="1" applyFill="1" applyAlignment="1" applyProtection="1">
      <alignment horizontal="center" vertical="center" wrapText="1"/>
      <protection locked="0"/>
    </xf>
    <xf numFmtId="0" fontId="71" fillId="17" borderId="0" xfId="0" applyFont="1" applyFill="1" applyProtection="1">
      <protection locked="0"/>
    </xf>
    <xf numFmtId="0" fontId="71" fillId="17" borderId="0" xfId="0" applyFont="1" applyFill="1" applyAlignment="1" applyProtection="1">
      <alignment horizontal="center"/>
      <protection locked="0"/>
    </xf>
    <xf numFmtId="0" fontId="72" fillId="17" borderId="0" xfId="0" applyFont="1" applyFill="1" applyAlignment="1" applyProtection="1">
      <alignment horizontal="left" vertical="center"/>
      <protection locked="0"/>
    </xf>
    <xf numFmtId="165" fontId="65" fillId="17" borderId="0" xfId="0" applyNumberFormat="1" applyFont="1" applyFill="1" applyAlignment="1" applyProtection="1">
      <alignment horizontal="center" vertical="center"/>
      <protection locked="0"/>
    </xf>
    <xf numFmtId="0" fontId="67" fillId="17" borderId="0" xfId="0" applyFont="1" applyFill="1" applyAlignment="1" applyProtection="1">
      <alignment horizontal="left" vertical="center" wrapText="1"/>
      <protection locked="0"/>
    </xf>
    <xf numFmtId="0" fontId="67" fillId="17" borderId="0" xfId="0" applyFont="1" applyFill="1" applyAlignment="1" applyProtection="1">
      <alignment vertical="justify" wrapText="1"/>
      <protection locked="0"/>
    </xf>
    <xf numFmtId="0" fontId="62" fillId="0" borderId="0" xfId="0" applyFont="1" applyProtection="1">
      <protection locked="0"/>
    </xf>
    <xf numFmtId="0" fontId="48" fillId="17" borderId="0" xfId="0" applyFont="1" applyFill="1" applyAlignment="1" applyProtection="1">
      <alignment vertical="center" wrapText="1"/>
      <protection locked="0"/>
    </xf>
    <xf numFmtId="0" fontId="73" fillId="18" borderId="0" xfId="0" applyFont="1" applyFill="1" applyAlignment="1" applyProtection="1">
      <alignment horizontal="center" vertical="center" wrapText="1"/>
      <protection locked="0"/>
    </xf>
    <xf numFmtId="2" fontId="67" fillId="18" borderId="0" xfId="0" applyNumberFormat="1" applyFont="1" applyFill="1" applyAlignment="1" applyProtection="1">
      <alignment horizontal="center" vertical="center" wrapText="1"/>
      <protection hidden="1"/>
    </xf>
    <xf numFmtId="0" fontId="74" fillId="18" borderId="0" xfId="0" applyFont="1" applyFill="1" applyAlignment="1" applyProtection="1">
      <alignment horizontal="center" vertical="center" wrapText="1"/>
      <protection hidden="1"/>
    </xf>
    <xf numFmtId="0" fontId="67" fillId="18" borderId="0" xfId="0" applyFont="1" applyFill="1" applyAlignment="1" applyProtection="1">
      <alignment horizontal="center" vertical="justify" wrapText="1"/>
      <protection locked="0"/>
    </xf>
    <xf numFmtId="0" fontId="67" fillId="18" borderId="0" xfId="0" applyFont="1" applyFill="1" applyAlignment="1" applyProtection="1">
      <alignment vertical="justify" wrapText="1"/>
      <protection locked="0"/>
    </xf>
    <xf numFmtId="0" fontId="69" fillId="17" borderId="69" xfId="0" applyFont="1" applyFill="1" applyBorder="1" applyAlignment="1" applyProtection="1">
      <alignment vertical="center" wrapText="1"/>
      <protection locked="0"/>
    </xf>
    <xf numFmtId="0" fontId="68" fillId="0" borderId="33" xfId="0" applyFont="1" applyBorder="1" applyAlignment="1" applyProtection="1">
      <alignment horizontal="center" vertical="center" wrapText="1"/>
      <protection locked="0"/>
    </xf>
    <xf numFmtId="0" fontId="68" fillId="17" borderId="0" xfId="0" applyFont="1" applyFill="1" applyAlignment="1" applyProtection="1">
      <alignment horizontal="right" wrapText="1"/>
      <protection locked="0"/>
    </xf>
    <xf numFmtId="49" fontId="63" fillId="17" borderId="0" xfId="0" applyNumberFormat="1" applyFont="1" applyFill="1" applyAlignment="1" applyProtection="1">
      <alignment vertical="center" wrapText="1"/>
      <protection locked="0"/>
    </xf>
    <xf numFmtId="0" fontId="37" fillId="0" borderId="0" xfId="0" applyFont="1" applyAlignment="1">
      <alignment vertical="center"/>
    </xf>
    <xf numFmtId="0" fontId="77" fillId="19" borderId="79" xfId="0" applyFont="1" applyFill="1" applyBorder="1" applyAlignment="1">
      <alignment horizontal="center" vertical="center" wrapText="1"/>
    </xf>
    <xf numFmtId="0" fontId="78" fillId="19" borderId="80" xfId="0" applyFont="1" applyFill="1" applyBorder="1" applyAlignment="1">
      <alignment horizontal="center" vertical="center" wrapText="1"/>
    </xf>
    <xf numFmtId="0" fontId="78" fillId="20" borderId="85" xfId="0" applyFont="1" applyFill="1" applyBorder="1" applyAlignment="1">
      <alignment horizontal="center" vertical="center" wrapText="1"/>
    </xf>
    <xf numFmtId="0" fontId="77" fillId="0" borderId="85" xfId="0" applyFont="1" applyBorder="1" applyAlignment="1">
      <alignment horizontal="center" vertical="center" wrapText="1"/>
    </xf>
    <xf numFmtId="0" fontId="78" fillId="20" borderId="84" xfId="0" applyFont="1" applyFill="1" applyBorder="1" applyAlignment="1">
      <alignment horizontal="center" vertical="center" wrapText="1"/>
    </xf>
    <xf numFmtId="0" fontId="77" fillId="0" borderId="84" xfId="0" applyFont="1" applyBorder="1" applyAlignment="1">
      <alignment horizontal="center" vertical="center" wrapText="1"/>
    </xf>
    <xf numFmtId="0" fontId="37" fillId="0" borderId="84" xfId="0" applyFont="1" applyBorder="1" applyAlignment="1">
      <alignment vertical="center" wrapText="1"/>
    </xf>
    <xf numFmtId="0" fontId="37" fillId="0" borderId="84" xfId="0" applyFont="1" applyBorder="1" applyAlignment="1">
      <alignment horizontal="center" vertical="center" wrapText="1"/>
    </xf>
    <xf numFmtId="0" fontId="78" fillId="20" borderId="88" xfId="0" applyFont="1" applyFill="1" applyBorder="1" applyAlignment="1">
      <alignment horizontal="center" vertical="center" wrapText="1"/>
    </xf>
    <xf numFmtId="0" fontId="77" fillId="0" borderId="88" xfId="0" applyFont="1" applyBorder="1" applyAlignment="1">
      <alignment horizontal="center" vertical="center" wrapText="1"/>
    </xf>
    <xf numFmtId="0" fontId="37" fillId="0" borderId="33" xfId="0" applyFont="1" applyBorder="1" applyAlignment="1">
      <alignment horizontal="center" vertical="center"/>
    </xf>
    <xf numFmtId="0" fontId="37" fillId="5" borderId="33" xfId="0" applyFont="1" applyFill="1" applyBorder="1" applyAlignment="1">
      <alignment horizontal="center" vertical="center"/>
    </xf>
    <xf numFmtId="0" fontId="77" fillId="0" borderId="0" xfId="0" applyFont="1" applyAlignment="1">
      <alignment horizontal="center" vertical="center" wrapText="1"/>
    </xf>
    <xf numFmtId="0" fontId="37" fillId="21" borderId="33" xfId="0" applyFont="1" applyFill="1" applyBorder="1" applyAlignment="1">
      <alignment vertical="center"/>
    </xf>
    <xf numFmtId="0" fontId="77" fillId="0" borderId="89" xfId="0" applyFont="1" applyBorder="1" applyAlignment="1">
      <alignment horizontal="center" vertical="center" wrapText="1"/>
    </xf>
    <xf numFmtId="0" fontId="69" fillId="0" borderId="0" xfId="0" applyFont="1" applyAlignment="1" applyProtection="1">
      <alignment vertical="center" wrapText="1"/>
      <protection locked="0"/>
    </xf>
    <xf numFmtId="0" fontId="1" fillId="0" borderId="4" xfId="0" applyFont="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horizontal="center" vertical="center" textRotation="90"/>
      <protection locked="0"/>
    </xf>
    <xf numFmtId="0" fontId="67" fillId="17" borderId="33" xfId="0" applyFont="1" applyFill="1" applyBorder="1" applyAlignment="1" applyProtection="1">
      <alignment horizontal="center" vertical="center" wrapText="1"/>
      <protection locked="0"/>
    </xf>
    <xf numFmtId="14" fontId="67" fillId="17" borderId="33" xfId="0" applyNumberFormat="1" applyFont="1" applyFill="1" applyBorder="1" applyAlignment="1" applyProtection="1">
      <alignment horizontal="center" vertical="center" wrapText="1"/>
      <protection locked="0"/>
    </xf>
    <xf numFmtId="0" fontId="1" fillId="0" borderId="0" xfId="0" applyFont="1" applyAlignment="1">
      <alignment vertical="center"/>
    </xf>
    <xf numFmtId="0" fontId="1" fillId="3" borderId="0" xfId="0" applyFont="1" applyFill="1" applyAlignment="1">
      <alignment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protection hidden="1"/>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0" fontId="79" fillId="0" borderId="0" xfId="0" applyFont="1" applyAlignment="1">
      <alignment horizontal="left" vertical="center" wrapText="1"/>
    </xf>
    <xf numFmtId="0" fontId="80" fillId="23" borderId="33" xfId="0" applyFont="1" applyFill="1" applyBorder="1" applyAlignment="1">
      <alignment horizontal="center" vertical="center" wrapText="1"/>
    </xf>
    <xf numFmtId="0" fontId="60" fillId="0" borderId="33" xfId="0" applyFont="1" applyBorder="1" applyAlignment="1">
      <alignment vertical="center" wrapText="1"/>
    </xf>
    <xf numFmtId="0" fontId="60" fillId="0" borderId="33" xfId="0" applyFont="1" applyBorder="1" applyAlignment="1">
      <alignment wrapText="1"/>
    </xf>
    <xf numFmtId="0" fontId="81" fillId="0" borderId="33" xfId="0" applyFont="1" applyBorder="1" applyAlignment="1">
      <alignment wrapText="1"/>
    </xf>
    <xf numFmtId="14" fontId="67" fillId="0" borderId="33" xfId="0" applyNumberFormat="1" applyFont="1" applyBorder="1" applyAlignment="1" applyProtection="1">
      <alignment horizontal="center" vertical="center" wrapText="1"/>
      <protection locked="0"/>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61" fillId="3" borderId="48" xfId="2" applyFont="1" applyFill="1" applyBorder="1" applyAlignment="1">
      <alignment horizontal="center" vertical="center" wrapText="1"/>
    </xf>
    <xf numFmtId="0" fontId="61" fillId="3" borderId="49" xfId="2" applyFont="1" applyFill="1" applyBorder="1" applyAlignment="1">
      <alignment horizontal="center" vertical="center" wrapText="1"/>
    </xf>
    <xf numFmtId="0" fontId="61" fillId="3"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49" fontId="57" fillId="16" borderId="0" xfId="0" applyNumberFormat="1" applyFont="1" applyFill="1" applyAlignment="1" applyProtection="1">
      <alignment horizontal="right" vertical="center" wrapText="1"/>
      <protection locked="0"/>
    </xf>
    <xf numFmtId="0" fontId="59" fillId="22" borderId="33" xfId="0" applyFont="1" applyFill="1" applyBorder="1" applyAlignment="1">
      <alignment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hidden="1"/>
    </xf>
    <xf numFmtId="0" fontId="1" fillId="0" borderId="5" xfId="0" applyFont="1" applyBorder="1" applyAlignment="1">
      <alignment horizontal="center" vertical="center"/>
    </xf>
    <xf numFmtId="0" fontId="1" fillId="0" borderId="5"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5" xfId="0" applyFont="1" applyBorder="1" applyAlignment="1" applyProtection="1">
      <alignment horizontal="center" vertical="top"/>
      <protection locked="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67" fillId="0" borderId="76" xfId="0" applyFont="1" applyBorder="1" applyAlignment="1" applyProtection="1">
      <alignment horizontal="left" vertical="center" wrapText="1"/>
      <protection locked="0"/>
    </xf>
    <xf numFmtId="0" fontId="67" fillId="0" borderId="77" xfId="0" applyFont="1" applyBorder="1" applyAlignment="1" applyProtection="1">
      <alignment horizontal="left" vertical="center" wrapText="1"/>
      <protection locked="0"/>
    </xf>
    <xf numFmtId="0" fontId="67" fillId="0" borderId="78"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49" fontId="76" fillId="17" borderId="0" xfId="0" applyNumberFormat="1" applyFont="1" applyFill="1" applyAlignment="1" applyProtection="1">
      <alignment horizontal="center" vertical="center" wrapText="1"/>
      <protection locked="0"/>
    </xf>
    <xf numFmtId="2" fontId="67" fillId="18" borderId="0" xfId="0" applyNumberFormat="1" applyFont="1" applyFill="1" applyAlignment="1" applyProtection="1">
      <alignment horizontal="center" vertical="center" wrapText="1"/>
      <protection hidden="1"/>
    </xf>
    <xf numFmtId="0" fontId="67" fillId="18" borderId="0" xfId="0" applyFont="1" applyFill="1" applyAlignment="1" applyProtection="1">
      <alignment horizontal="center" vertical="justify" wrapText="1"/>
      <protection locked="0"/>
    </xf>
    <xf numFmtId="0" fontId="75" fillId="17" borderId="0" xfId="0" applyFont="1" applyFill="1" applyAlignment="1" applyProtection="1">
      <alignment horizontal="left" vertical="top"/>
      <protection locked="0"/>
    </xf>
    <xf numFmtId="0" fontId="68" fillId="0" borderId="75" xfId="0" applyFont="1" applyBorder="1" applyAlignment="1" applyProtection="1">
      <alignment horizontal="center" vertical="center" wrapText="1"/>
      <protection locked="0"/>
    </xf>
    <xf numFmtId="0" fontId="73" fillId="18" borderId="0" xfId="0" applyFont="1" applyFill="1" applyAlignment="1" applyProtection="1">
      <alignment horizontal="center" vertical="center" wrapText="1"/>
      <protection locked="0"/>
    </xf>
    <xf numFmtId="0" fontId="68" fillId="0" borderId="76" xfId="0" applyFont="1" applyBorder="1" applyAlignment="1" applyProtection="1">
      <alignment horizontal="center" vertical="center" wrapText="1"/>
      <protection locked="0"/>
    </xf>
    <xf numFmtId="0" fontId="68" fillId="0" borderId="77" xfId="0" applyFont="1" applyBorder="1" applyAlignment="1" applyProtection="1">
      <alignment horizontal="center" vertical="center" wrapText="1"/>
      <protection locked="0"/>
    </xf>
    <xf numFmtId="0" fontId="68" fillId="0" borderId="78" xfId="0" applyFont="1" applyBorder="1" applyAlignment="1" applyProtection="1">
      <alignment horizontal="center" vertical="center" wrapText="1"/>
      <protection locked="0"/>
    </xf>
    <xf numFmtId="0" fontId="67" fillId="17" borderId="76" xfId="0" applyFont="1" applyFill="1" applyBorder="1" applyAlignment="1" applyProtection="1">
      <alignment horizontal="left" vertical="center" wrapText="1"/>
      <protection locked="0"/>
    </xf>
    <xf numFmtId="0" fontId="67" fillId="17" borderId="77" xfId="0" applyFont="1" applyFill="1" applyBorder="1" applyAlignment="1" applyProtection="1">
      <alignment horizontal="left" vertical="center" wrapText="1"/>
      <protection locked="0"/>
    </xf>
    <xf numFmtId="0" fontId="67" fillId="17" borderId="78" xfId="0" applyFont="1" applyFill="1" applyBorder="1" applyAlignment="1" applyProtection="1">
      <alignment horizontal="left"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78" fillId="20" borderId="87" xfId="0" applyFont="1" applyFill="1" applyBorder="1" applyAlignment="1">
      <alignment horizontal="center" vertical="center" wrapText="1"/>
    </xf>
    <xf numFmtId="0" fontId="78" fillId="20" borderId="82" xfId="0" applyFont="1" applyFill="1" applyBorder="1" applyAlignment="1">
      <alignment horizontal="center" vertical="center" wrapText="1"/>
    </xf>
    <xf numFmtId="0" fontId="77" fillId="0" borderId="87" xfId="0" applyFont="1" applyBorder="1" applyAlignment="1">
      <alignment horizontal="center" vertical="center" wrapText="1"/>
    </xf>
    <xf numFmtId="0" fontId="77" fillId="0" borderId="82" xfId="0" applyFont="1" applyBorder="1" applyAlignment="1">
      <alignment horizontal="center" vertical="center" wrapText="1"/>
    </xf>
    <xf numFmtId="0" fontId="78" fillId="19" borderId="86" xfId="0" applyFont="1" applyFill="1" applyBorder="1" applyAlignment="1">
      <alignment horizontal="center" vertical="center" wrapText="1"/>
    </xf>
    <xf numFmtId="0" fontId="78" fillId="19" borderId="81" xfId="0" applyFont="1" applyFill="1" applyBorder="1" applyAlignment="1">
      <alignment horizontal="center" vertical="center" wrapText="1"/>
    </xf>
    <xf numFmtId="0" fontId="78" fillId="19" borderId="80" xfId="0" applyFont="1" applyFill="1" applyBorder="1" applyAlignment="1">
      <alignment horizontal="center" vertical="center" wrapText="1"/>
    </xf>
    <xf numFmtId="0" fontId="78" fillId="20" borderId="83" xfId="0" applyFont="1" applyFill="1" applyBorder="1" applyAlignment="1">
      <alignment horizontal="center" vertical="center" wrapText="1"/>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115454</xdr:colOff>
      <xdr:row>11</xdr:row>
      <xdr:rowOff>242454</xdr:rowOff>
    </xdr:from>
    <xdr:to>
      <xdr:col>2</xdr:col>
      <xdr:colOff>735445</xdr:colOff>
      <xdr:row>11</xdr:row>
      <xdr:rowOff>1013978</xdr:rowOff>
    </xdr:to>
    <xdr:pic>
      <xdr:nvPicPr>
        <xdr:cNvPr id="2" name="Imagen 135">
          <a:extLst>
            <a:ext uri="{FF2B5EF4-FFF2-40B4-BE49-F238E27FC236}">
              <a16:creationId xmlns:a16="http://schemas.microsoft.com/office/drawing/2014/main" id="{8A041215-B7E0-234C-BC46-44CB965B0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818" y="923636"/>
          <a:ext cx="25019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495300</xdr:colOff>
      <xdr:row>2</xdr:row>
      <xdr:rowOff>9526</xdr:rowOff>
    </xdr:from>
    <xdr:to>
      <xdr:col>2</xdr:col>
      <xdr:colOff>2171700</xdr:colOff>
      <xdr:row>3</xdr:row>
      <xdr:rowOff>590550</xdr:rowOff>
    </xdr:to>
    <xdr:pic>
      <xdr:nvPicPr>
        <xdr:cNvPr id="2" name="Imagen 135">
          <a:extLst>
            <a:ext uri="{FF2B5EF4-FFF2-40B4-BE49-F238E27FC236}">
              <a16:creationId xmlns:a16="http://schemas.microsoft.com/office/drawing/2014/main" id="{0446CEC4-8D36-6247-8AE3-2F67F317B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 y="390526"/>
          <a:ext cx="25019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25400</xdr:colOff>
      <xdr:row>18</xdr:row>
      <xdr:rowOff>0</xdr:rowOff>
    </xdr:from>
    <xdr:to>
      <xdr:col>16</xdr:col>
      <xdr:colOff>320675</xdr:colOff>
      <xdr:row>18</xdr:row>
      <xdr:rowOff>307181</xdr:rowOff>
    </xdr:to>
    <xdr:sp macro="" textlink="">
      <xdr:nvSpPr>
        <xdr:cNvPr id="2" name="AutoShape 38" descr="Resultado de imagen para boton agregar icono">
          <a:extLst>
            <a:ext uri="{FF2B5EF4-FFF2-40B4-BE49-F238E27FC236}">
              <a16:creationId xmlns:a16="http://schemas.microsoft.com/office/drawing/2014/main" id="{5CCAC519-8FCC-4ECD-BBC1-191D238B5548}"/>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18</xdr:row>
      <xdr:rowOff>0</xdr:rowOff>
    </xdr:from>
    <xdr:to>
      <xdr:col>16</xdr:col>
      <xdr:colOff>320675</xdr:colOff>
      <xdr:row>18</xdr:row>
      <xdr:rowOff>307181</xdr:rowOff>
    </xdr:to>
    <xdr:sp macro="" textlink="">
      <xdr:nvSpPr>
        <xdr:cNvPr id="3" name="AutoShape 39" descr="Resultado de imagen para boton agregar icono">
          <a:extLst>
            <a:ext uri="{FF2B5EF4-FFF2-40B4-BE49-F238E27FC236}">
              <a16:creationId xmlns:a16="http://schemas.microsoft.com/office/drawing/2014/main" id="{212298C9-1C90-422A-B33A-5B9110C76EB4}"/>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18</xdr:row>
      <xdr:rowOff>0</xdr:rowOff>
    </xdr:from>
    <xdr:to>
      <xdr:col>16</xdr:col>
      <xdr:colOff>320675</xdr:colOff>
      <xdr:row>18</xdr:row>
      <xdr:rowOff>307181</xdr:rowOff>
    </xdr:to>
    <xdr:sp macro="" textlink="">
      <xdr:nvSpPr>
        <xdr:cNvPr id="4" name="AutoShape 40" descr="Resultado de imagen para boton agregar icono">
          <a:extLst>
            <a:ext uri="{FF2B5EF4-FFF2-40B4-BE49-F238E27FC236}">
              <a16:creationId xmlns:a16="http://schemas.microsoft.com/office/drawing/2014/main" id="{B5279E58-EA1A-4043-A3F3-3775086B4600}"/>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18</xdr:row>
      <xdr:rowOff>0</xdr:rowOff>
    </xdr:from>
    <xdr:to>
      <xdr:col>16</xdr:col>
      <xdr:colOff>320675</xdr:colOff>
      <xdr:row>18</xdr:row>
      <xdr:rowOff>307181</xdr:rowOff>
    </xdr:to>
    <xdr:sp macro="" textlink="">
      <xdr:nvSpPr>
        <xdr:cNvPr id="5" name="AutoShape 42" descr="Z">
          <a:extLst>
            <a:ext uri="{FF2B5EF4-FFF2-40B4-BE49-F238E27FC236}">
              <a16:creationId xmlns:a16="http://schemas.microsoft.com/office/drawing/2014/main" id="{72D5F597-052C-4F5A-9378-56A3A52B91F6}"/>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8</xdr:row>
      <xdr:rowOff>127000</xdr:rowOff>
    </xdr:from>
    <xdr:to>
      <xdr:col>16</xdr:col>
      <xdr:colOff>25400</xdr:colOff>
      <xdr:row>9</xdr:row>
      <xdr:rowOff>76345</xdr:rowOff>
    </xdr:to>
    <xdr:sp macro="" textlink="">
      <xdr:nvSpPr>
        <xdr:cNvPr id="6" name="Rectangle 53">
          <a:extLst>
            <a:ext uri="{FF2B5EF4-FFF2-40B4-BE49-F238E27FC236}">
              <a16:creationId xmlns:a16="http://schemas.microsoft.com/office/drawing/2014/main" id="{30F52F8A-3743-471F-A917-088E199F2384}"/>
            </a:ext>
          </a:extLst>
        </xdr:cNvPr>
        <xdr:cNvSpPr>
          <a:spLocks noChangeArrowheads="1"/>
        </xdr:cNvSpPr>
      </xdr:nvSpPr>
      <xdr:spPr bwMode="auto">
        <a:xfrm>
          <a:off x="16042105" y="5760843"/>
          <a:ext cx="0" cy="276225"/>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twoCellAnchor>
  <xdr:twoCellAnchor editAs="oneCell">
    <xdr:from>
      <xdr:col>0</xdr:col>
      <xdr:colOff>162791</xdr:colOff>
      <xdr:row>5</xdr:row>
      <xdr:rowOff>30018</xdr:rowOff>
    </xdr:from>
    <xdr:to>
      <xdr:col>32</xdr:col>
      <xdr:colOff>738801</xdr:colOff>
      <xdr:row>5</xdr:row>
      <xdr:rowOff>95373</xdr:rowOff>
    </xdr:to>
    <xdr:cxnSp macro="">
      <xdr:nvCxnSpPr>
        <xdr:cNvPr id="7" name="Conector recto 6">
          <a:extLst>
            <a:ext uri="{FF2B5EF4-FFF2-40B4-BE49-F238E27FC236}">
              <a16:creationId xmlns:a16="http://schemas.microsoft.com/office/drawing/2014/main" id="{FF79EB7A-1C4D-4552-9713-538E56CE04FB}"/>
            </a:ext>
          </a:extLst>
        </xdr:cNvPr>
        <xdr:cNvCxnSpPr/>
      </xdr:nvCxnSpPr>
      <xdr:spPr>
        <a:xfrm flipV="1">
          <a:off x="162791" y="2608118"/>
          <a:ext cx="35990645" cy="65355"/>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40409</xdr:colOff>
      <xdr:row>0</xdr:row>
      <xdr:rowOff>165101</xdr:rowOff>
    </xdr:from>
    <xdr:to>
      <xdr:col>5</xdr:col>
      <xdr:colOff>61913</xdr:colOff>
      <xdr:row>5</xdr:row>
      <xdr:rowOff>15261</xdr:rowOff>
    </xdr:to>
    <xdr:pic>
      <xdr:nvPicPr>
        <xdr:cNvPr id="8" name="Imagen 7">
          <a:extLst>
            <a:ext uri="{FF2B5EF4-FFF2-40B4-BE49-F238E27FC236}">
              <a16:creationId xmlns:a16="http://schemas.microsoft.com/office/drawing/2014/main" id="{4F137EE6-AF90-4845-9503-7974EF38A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8009" y="165101"/>
          <a:ext cx="3744191" cy="125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CAR/Downloads/2.%20Mapa%20de%20riesgos%20DIRyPLA__%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64" dataDxfId="63">
  <autoFilter ref="B209:C219" xr:uid="{00000000-0009-0000-0100-000001000000}"/>
  <tableColumns count="2">
    <tableColumn id="1" xr3:uid="{00000000-0010-0000-0000-000001000000}" name="Criterios" dataDxfId="62"/>
    <tableColumn id="2" xr3:uid="{00000000-0010-0000-0000-000002000000}" name="Subcriterios" dataDxfId="6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H55"/>
  <sheetViews>
    <sheetView topLeftCell="A4" zoomScale="110" zoomScaleNormal="110" workbookViewId="0">
      <selection activeCell="B12" sqref="B12:H12"/>
    </sheetView>
  </sheetViews>
  <sheetFormatPr baseColWidth="10" defaultColWidth="11.42578125" defaultRowHeight="15" x14ac:dyDescent="0.25"/>
  <cols>
    <col min="1" max="1" width="2.85546875" style="81" customWidth="1"/>
    <col min="2" max="3" width="24.7109375" style="81" customWidth="1"/>
    <col min="4" max="4" width="16" style="81" customWidth="1"/>
    <col min="5" max="5" width="24.7109375" style="81" customWidth="1"/>
    <col min="6" max="6" width="27.7109375" style="81" customWidth="1"/>
    <col min="7" max="8" width="24.7109375" style="81" customWidth="1"/>
    <col min="9" max="16384" width="11.42578125" style="81"/>
  </cols>
  <sheetData>
    <row r="4" spans="2:8" ht="6.95" customHeight="1" thickBot="1" x14ac:dyDescent="0.3"/>
    <row r="5" spans="2:8" hidden="1" x14ac:dyDescent="0.25"/>
    <row r="6" spans="2:8" ht="15.75" hidden="1" thickBot="1" x14ac:dyDescent="0.3"/>
    <row r="7" spans="2:8" ht="15.75" hidden="1" thickBot="1" x14ac:dyDescent="0.3"/>
    <row r="8" spans="2:8" ht="0.95" hidden="1" customHeight="1" thickBot="1" x14ac:dyDescent="0.3"/>
    <row r="9" spans="2:8" ht="15.75" hidden="1" thickBot="1" x14ac:dyDescent="0.3"/>
    <row r="10" spans="2:8" ht="15.75" hidden="1" thickBot="1" x14ac:dyDescent="0.3"/>
    <row r="11" spans="2:8" ht="15.75" hidden="1" thickBot="1" x14ac:dyDescent="0.3"/>
    <row r="12" spans="2:8" ht="95.1" customHeight="1" x14ac:dyDescent="0.25">
      <c r="B12" s="237" t="s">
        <v>0</v>
      </c>
      <c r="C12" s="238"/>
      <c r="D12" s="238"/>
      <c r="E12" s="238"/>
      <c r="F12" s="238"/>
      <c r="G12" s="238"/>
      <c r="H12" s="239"/>
    </row>
    <row r="13" spans="2:8" ht="11.1" customHeight="1" x14ac:dyDescent="0.25">
      <c r="B13" s="82"/>
      <c r="C13" s="83"/>
      <c r="D13" s="83"/>
      <c r="E13" s="83"/>
      <c r="F13" s="83"/>
      <c r="G13" s="83"/>
      <c r="H13" s="84"/>
    </row>
    <row r="14" spans="2:8" ht="29.1" hidden="1" customHeight="1" x14ac:dyDescent="0.25">
      <c r="B14" s="240" t="s">
        <v>1</v>
      </c>
      <c r="C14" s="241"/>
      <c r="D14" s="241"/>
      <c r="E14" s="241"/>
      <c r="F14" s="241"/>
      <c r="G14" s="241"/>
      <c r="H14" s="242"/>
    </row>
    <row r="15" spans="2:8" ht="63" hidden="1" customHeight="1" x14ac:dyDescent="0.25">
      <c r="B15" s="243"/>
      <c r="C15" s="244"/>
      <c r="D15" s="244"/>
      <c r="E15" s="244"/>
      <c r="F15" s="244"/>
      <c r="G15" s="244"/>
      <c r="H15" s="245"/>
    </row>
    <row r="16" spans="2:8" ht="16.5" x14ac:dyDescent="0.25">
      <c r="B16" s="246" t="s">
        <v>2</v>
      </c>
      <c r="C16" s="247"/>
      <c r="D16" s="247"/>
      <c r="E16" s="247"/>
      <c r="F16" s="247"/>
      <c r="G16" s="247"/>
      <c r="H16" s="248"/>
    </row>
    <row r="17" spans="2:8" ht="95.25" customHeight="1" x14ac:dyDescent="0.25">
      <c r="B17" s="256" t="s">
        <v>3</v>
      </c>
      <c r="C17" s="257"/>
      <c r="D17" s="257"/>
      <c r="E17" s="257"/>
      <c r="F17" s="257"/>
      <c r="G17" s="257"/>
      <c r="H17" s="258"/>
    </row>
    <row r="18" spans="2:8" ht="16.5" x14ac:dyDescent="0.25">
      <c r="B18" s="118"/>
      <c r="C18" s="119"/>
      <c r="D18" s="119"/>
      <c r="E18" s="119"/>
      <c r="F18" s="119"/>
      <c r="G18" s="119"/>
      <c r="H18" s="120"/>
    </row>
    <row r="19" spans="2:8" ht="16.5" customHeight="1" x14ac:dyDescent="0.25">
      <c r="B19" s="249" t="s">
        <v>4</v>
      </c>
      <c r="C19" s="250"/>
      <c r="D19" s="250"/>
      <c r="E19" s="250"/>
      <c r="F19" s="250"/>
      <c r="G19" s="250"/>
      <c r="H19" s="251"/>
    </row>
    <row r="20" spans="2:8" ht="44.25" customHeight="1" x14ac:dyDescent="0.25">
      <c r="B20" s="249"/>
      <c r="C20" s="250"/>
      <c r="D20" s="250"/>
      <c r="E20" s="250"/>
      <c r="F20" s="250"/>
      <c r="G20" s="250"/>
      <c r="H20" s="251"/>
    </row>
    <row r="21" spans="2:8" ht="15.75" thickBot="1" x14ac:dyDescent="0.3">
      <c r="B21" s="107"/>
      <c r="C21" s="110"/>
      <c r="D21" s="115"/>
      <c r="E21" s="116"/>
      <c r="F21" s="116"/>
      <c r="G21" s="117"/>
      <c r="H21" s="111"/>
    </row>
    <row r="22" spans="2:8" ht="15.75" thickTop="1" x14ac:dyDescent="0.25">
      <c r="B22" s="107"/>
      <c r="C22" s="252" t="s">
        <v>5</v>
      </c>
      <c r="D22" s="253"/>
      <c r="E22" s="254" t="s">
        <v>6</v>
      </c>
      <c r="F22" s="255"/>
      <c r="G22" s="110"/>
      <c r="H22" s="111"/>
    </row>
    <row r="23" spans="2:8" ht="35.25" customHeight="1" x14ac:dyDescent="0.25">
      <c r="B23" s="107"/>
      <c r="C23" s="224" t="s">
        <v>7</v>
      </c>
      <c r="D23" s="225"/>
      <c r="E23" s="226" t="s">
        <v>8</v>
      </c>
      <c r="F23" s="227"/>
      <c r="G23" s="110"/>
      <c r="H23" s="111"/>
    </row>
    <row r="24" spans="2:8" ht="17.25" customHeight="1" x14ac:dyDescent="0.25">
      <c r="B24" s="107"/>
      <c r="C24" s="224" t="s">
        <v>9</v>
      </c>
      <c r="D24" s="225"/>
      <c r="E24" s="226" t="s">
        <v>10</v>
      </c>
      <c r="F24" s="227"/>
      <c r="G24" s="110"/>
      <c r="H24" s="111"/>
    </row>
    <row r="25" spans="2:8" ht="19.5" customHeight="1" x14ac:dyDescent="0.25">
      <c r="B25" s="107"/>
      <c r="C25" s="224" t="s">
        <v>11</v>
      </c>
      <c r="D25" s="225"/>
      <c r="E25" s="226" t="s">
        <v>12</v>
      </c>
      <c r="F25" s="227"/>
      <c r="G25" s="110"/>
      <c r="H25" s="111"/>
    </row>
    <row r="26" spans="2:8" ht="69.75" customHeight="1" x14ac:dyDescent="0.25">
      <c r="B26" s="107"/>
      <c r="C26" s="224" t="s">
        <v>13</v>
      </c>
      <c r="D26" s="225"/>
      <c r="E26" s="226" t="s">
        <v>14</v>
      </c>
      <c r="F26" s="227"/>
      <c r="G26" s="110"/>
      <c r="H26" s="111"/>
    </row>
    <row r="27" spans="2:8" ht="34.5" customHeight="1" x14ac:dyDescent="0.25">
      <c r="B27" s="107"/>
      <c r="C27" s="228" t="s">
        <v>15</v>
      </c>
      <c r="D27" s="229"/>
      <c r="E27" s="220" t="s">
        <v>16</v>
      </c>
      <c r="F27" s="221"/>
      <c r="G27" s="110"/>
      <c r="H27" s="111"/>
    </row>
    <row r="28" spans="2:8" ht="27.75" customHeight="1" x14ac:dyDescent="0.25">
      <c r="B28" s="107"/>
      <c r="C28" s="228" t="s">
        <v>17</v>
      </c>
      <c r="D28" s="229"/>
      <c r="E28" s="220" t="s">
        <v>18</v>
      </c>
      <c r="F28" s="221"/>
      <c r="G28" s="110"/>
      <c r="H28" s="111"/>
    </row>
    <row r="29" spans="2:8" ht="28.5" customHeight="1" x14ac:dyDescent="0.25">
      <c r="B29" s="107"/>
      <c r="C29" s="228" t="s">
        <v>19</v>
      </c>
      <c r="D29" s="229"/>
      <c r="E29" s="220" t="s">
        <v>20</v>
      </c>
      <c r="F29" s="221"/>
      <c r="G29" s="110"/>
      <c r="H29" s="111"/>
    </row>
    <row r="30" spans="2:8" ht="72.75" customHeight="1" x14ac:dyDescent="0.25">
      <c r="B30" s="107"/>
      <c r="C30" s="228" t="s">
        <v>21</v>
      </c>
      <c r="D30" s="229"/>
      <c r="E30" s="220" t="s">
        <v>22</v>
      </c>
      <c r="F30" s="221"/>
      <c r="G30" s="110"/>
      <c r="H30" s="111"/>
    </row>
    <row r="31" spans="2:8" ht="64.5" customHeight="1" x14ac:dyDescent="0.25">
      <c r="B31" s="107"/>
      <c r="C31" s="228" t="s">
        <v>23</v>
      </c>
      <c r="D31" s="229"/>
      <c r="E31" s="220" t="s">
        <v>24</v>
      </c>
      <c r="F31" s="221"/>
      <c r="G31" s="110"/>
      <c r="H31" s="111"/>
    </row>
    <row r="32" spans="2:8" ht="71.25" customHeight="1" x14ac:dyDescent="0.25">
      <c r="B32" s="107"/>
      <c r="C32" s="228" t="s">
        <v>25</v>
      </c>
      <c r="D32" s="229"/>
      <c r="E32" s="220" t="s">
        <v>26</v>
      </c>
      <c r="F32" s="221"/>
      <c r="G32" s="110"/>
      <c r="H32" s="111"/>
    </row>
    <row r="33" spans="2:8" ht="55.5" customHeight="1" x14ac:dyDescent="0.25">
      <c r="B33" s="107"/>
      <c r="C33" s="222" t="s">
        <v>27</v>
      </c>
      <c r="D33" s="223"/>
      <c r="E33" s="220" t="s">
        <v>28</v>
      </c>
      <c r="F33" s="221"/>
      <c r="G33" s="110"/>
      <c r="H33" s="111"/>
    </row>
    <row r="34" spans="2:8" ht="42" customHeight="1" x14ac:dyDescent="0.25">
      <c r="B34" s="107"/>
      <c r="C34" s="222" t="s">
        <v>29</v>
      </c>
      <c r="D34" s="223"/>
      <c r="E34" s="220" t="s">
        <v>30</v>
      </c>
      <c r="F34" s="221"/>
      <c r="G34" s="110"/>
      <c r="H34" s="111"/>
    </row>
    <row r="35" spans="2:8" ht="59.25" customHeight="1" x14ac:dyDescent="0.25">
      <c r="B35" s="107"/>
      <c r="C35" s="222" t="s">
        <v>31</v>
      </c>
      <c r="D35" s="223"/>
      <c r="E35" s="220" t="s">
        <v>32</v>
      </c>
      <c r="F35" s="221"/>
      <c r="G35" s="110"/>
      <c r="H35" s="111"/>
    </row>
    <row r="36" spans="2:8" ht="23.25" customHeight="1" x14ac:dyDescent="0.25">
      <c r="B36" s="107"/>
      <c r="C36" s="222" t="s">
        <v>33</v>
      </c>
      <c r="D36" s="223"/>
      <c r="E36" s="220" t="s">
        <v>34</v>
      </c>
      <c r="F36" s="221"/>
      <c r="G36" s="110"/>
      <c r="H36" s="111"/>
    </row>
    <row r="37" spans="2:8" ht="30.75" customHeight="1" x14ac:dyDescent="0.25">
      <c r="B37" s="107"/>
      <c r="C37" s="222" t="s">
        <v>35</v>
      </c>
      <c r="D37" s="223"/>
      <c r="E37" s="220" t="s">
        <v>36</v>
      </c>
      <c r="F37" s="221"/>
      <c r="G37" s="110"/>
      <c r="H37" s="111"/>
    </row>
    <row r="38" spans="2:8" ht="35.25" customHeight="1" x14ac:dyDescent="0.25">
      <c r="B38" s="107"/>
      <c r="C38" s="222" t="s">
        <v>37</v>
      </c>
      <c r="D38" s="223"/>
      <c r="E38" s="220" t="s">
        <v>38</v>
      </c>
      <c r="F38" s="221"/>
      <c r="G38" s="110"/>
      <c r="H38" s="111"/>
    </row>
    <row r="39" spans="2:8" ht="33" customHeight="1" x14ac:dyDescent="0.25">
      <c r="B39" s="107"/>
      <c r="C39" s="222" t="s">
        <v>37</v>
      </c>
      <c r="D39" s="223"/>
      <c r="E39" s="220" t="s">
        <v>38</v>
      </c>
      <c r="F39" s="221"/>
      <c r="G39" s="110"/>
      <c r="H39" s="111"/>
    </row>
    <row r="40" spans="2:8" ht="30" customHeight="1" x14ac:dyDescent="0.25">
      <c r="B40" s="107"/>
      <c r="C40" s="222" t="s">
        <v>39</v>
      </c>
      <c r="D40" s="223"/>
      <c r="E40" s="220" t="s">
        <v>40</v>
      </c>
      <c r="F40" s="221"/>
      <c r="G40" s="110"/>
      <c r="H40" s="111"/>
    </row>
    <row r="41" spans="2:8" ht="35.25" customHeight="1" x14ac:dyDescent="0.25">
      <c r="B41" s="107"/>
      <c r="C41" s="222" t="s">
        <v>41</v>
      </c>
      <c r="D41" s="223"/>
      <c r="E41" s="220" t="s">
        <v>42</v>
      </c>
      <c r="F41" s="221"/>
      <c r="G41" s="110"/>
      <c r="H41" s="111"/>
    </row>
    <row r="42" spans="2:8" ht="31.5" customHeight="1" x14ac:dyDescent="0.25">
      <c r="B42" s="107"/>
      <c r="C42" s="222" t="s">
        <v>43</v>
      </c>
      <c r="D42" s="223"/>
      <c r="E42" s="220" t="s">
        <v>44</v>
      </c>
      <c r="F42" s="221"/>
      <c r="G42" s="110"/>
      <c r="H42" s="111"/>
    </row>
    <row r="43" spans="2:8" ht="35.25" customHeight="1" x14ac:dyDescent="0.25">
      <c r="B43" s="107"/>
      <c r="C43" s="222" t="s">
        <v>45</v>
      </c>
      <c r="D43" s="223"/>
      <c r="E43" s="220" t="s">
        <v>46</v>
      </c>
      <c r="F43" s="221"/>
      <c r="G43" s="110"/>
      <c r="H43" s="111"/>
    </row>
    <row r="44" spans="2:8" ht="59.25" customHeight="1" x14ac:dyDescent="0.25">
      <c r="B44" s="107"/>
      <c r="C44" s="222" t="s">
        <v>47</v>
      </c>
      <c r="D44" s="223"/>
      <c r="E44" s="220" t="s">
        <v>48</v>
      </c>
      <c r="F44" s="221"/>
      <c r="G44" s="110"/>
      <c r="H44" s="111"/>
    </row>
    <row r="45" spans="2:8" ht="29.25" customHeight="1" x14ac:dyDescent="0.25">
      <c r="B45" s="107"/>
      <c r="C45" s="222" t="s">
        <v>49</v>
      </c>
      <c r="D45" s="223"/>
      <c r="E45" s="220" t="s">
        <v>50</v>
      </c>
      <c r="F45" s="221"/>
      <c r="G45" s="110"/>
      <c r="H45" s="111"/>
    </row>
    <row r="46" spans="2:8" ht="82.5" customHeight="1" x14ac:dyDescent="0.25">
      <c r="B46" s="107"/>
      <c r="C46" s="222" t="s">
        <v>51</v>
      </c>
      <c r="D46" s="223"/>
      <c r="E46" s="220" t="s">
        <v>52</v>
      </c>
      <c r="F46" s="221"/>
      <c r="G46" s="110"/>
      <c r="H46" s="111"/>
    </row>
    <row r="47" spans="2:8" ht="46.5" customHeight="1" x14ac:dyDescent="0.25">
      <c r="B47" s="107"/>
      <c r="C47" s="222" t="s">
        <v>53</v>
      </c>
      <c r="D47" s="223"/>
      <c r="E47" s="220" t="s">
        <v>54</v>
      </c>
      <c r="F47" s="221"/>
      <c r="G47" s="110"/>
      <c r="H47" s="111"/>
    </row>
    <row r="48" spans="2:8" ht="6.75" customHeight="1" thickBot="1" x14ac:dyDescent="0.3">
      <c r="B48" s="107"/>
      <c r="C48" s="233"/>
      <c r="D48" s="234"/>
      <c r="E48" s="235"/>
      <c r="F48" s="236"/>
      <c r="G48" s="110"/>
      <c r="H48" s="111"/>
    </row>
    <row r="49" spans="2:8" ht="15.75" thickTop="1" x14ac:dyDescent="0.25">
      <c r="B49" s="107"/>
      <c r="C49" s="108"/>
      <c r="D49" s="108"/>
      <c r="E49" s="109"/>
      <c r="F49" s="109"/>
      <c r="G49" s="110"/>
      <c r="H49" s="111"/>
    </row>
    <row r="50" spans="2:8" ht="21" customHeight="1" x14ac:dyDescent="0.25">
      <c r="B50" s="230" t="s">
        <v>55</v>
      </c>
      <c r="C50" s="231"/>
      <c r="D50" s="231"/>
      <c r="E50" s="231"/>
      <c r="F50" s="231"/>
      <c r="G50" s="231"/>
      <c r="H50" s="232"/>
    </row>
    <row r="51" spans="2:8" ht="20.25" customHeight="1" x14ac:dyDescent="0.25">
      <c r="B51" s="230" t="s">
        <v>56</v>
      </c>
      <c r="C51" s="231"/>
      <c r="D51" s="231"/>
      <c r="E51" s="231"/>
      <c r="F51" s="231"/>
      <c r="G51" s="231"/>
      <c r="H51" s="232"/>
    </row>
    <row r="52" spans="2:8" ht="20.25" customHeight="1" x14ac:dyDescent="0.25">
      <c r="B52" s="230" t="s">
        <v>57</v>
      </c>
      <c r="C52" s="231"/>
      <c r="D52" s="231"/>
      <c r="E52" s="231"/>
      <c r="F52" s="231"/>
      <c r="G52" s="231"/>
      <c r="H52" s="232"/>
    </row>
    <row r="53" spans="2:8" ht="20.25" customHeight="1" x14ac:dyDescent="0.25">
      <c r="B53" s="230" t="s">
        <v>58</v>
      </c>
      <c r="C53" s="231"/>
      <c r="D53" s="231"/>
      <c r="E53" s="231"/>
      <c r="F53" s="231"/>
      <c r="G53" s="231"/>
      <c r="H53" s="232"/>
    </row>
    <row r="54" spans="2:8" x14ac:dyDescent="0.25">
      <c r="B54" s="230" t="s">
        <v>59</v>
      </c>
      <c r="C54" s="231"/>
      <c r="D54" s="231"/>
      <c r="E54" s="231"/>
      <c r="F54" s="231"/>
      <c r="G54" s="231"/>
      <c r="H54" s="232"/>
    </row>
    <row r="55" spans="2:8" ht="15.75" thickBot="1" x14ac:dyDescent="0.3">
      <c r="B55" s="112"/>
      <c r="C55" s="113"/>
      <c r="D55" s="113"/>
      <c r="E55" s="113"/>
      <c r="F55" s="113"/>
      <c r="G55" s="113"/>
      <c r="H55" s="114"/>
    </row>
  </sheetData>
  <mergeCells count="64">
    <mergeCell ref="B12:H12"/>
    <mergeCell ref="B14:H15"/>
    <mergeCell ref="B16:H16"/>
    <mergeCell ref="B19:H20"/>
    <mergeCell ref="C22:D22"/>
    <mergeCell ref="E22:F22"/>
    <mergeCell ref="B17:H17"/>
    <mergeCell ref="C23:D23"/>
    <mergeCell ref="E23:F23"/>
    <mergeCell ref="C27:D27"/>
    <mergeCell ref="E27:F27"/>
    <mergeCell ref="C31:D31"/>
    <mergeCell ref="C28:D28"/>
    <mergeCell ref="C29:D29"/>
    <mergeCell ref="C30:D30"/>
    <mergeCell ref="E28:F28"/>
    <mergeCell ref="E29:F29"/>
    <mergeCell ref="E30:F30"/>
    <mergeCell ref="E31:F31"/>
    <mergeCell ref="B52:H52"/>
    <mergeCell ref="B53:H53"/>
    <mergeCell ref="B54:H54"/>
    <mergeCell ref="E33:F33"/>
    <mergeCell ref="C33:D33"/>
    <mergeCell ref="C34:D34"/>
    <mergeCell ref="E34:F34"/>
    <mergeCell ref="C36:D36"/>
    <mergeCell ref="E36:F36"/>
    <mergeCell ref="E44:F44"/>
    <mergeCell ref="C42:D42"/>
    <mergeCell ref="C41:D41"/>
    <mergeCell ref="E41:F41"/>
    <mergeCell ref="E42:F42"/>
    <mergeCell ref="C37:D37"/>
    <mergeCell ref="E37:F37"/>
    <mergeCell ref="C43:D43"/>
    <mergeCell ref="B50:H50"/>
    <mergeCell ref="C39:D39"/>
    <mergeCell ref="E39:F39"/>
    <mergeCell ref="C40:D40"/>
    <mergeCell ref="E40:F40"/>
    <mergeCell ref="E43:F43"/>
    <mergeCell ref="C44:D44"/>
    <mergeCell ref="C45:D45"/>
    <mergeCell ref="E45:F45"/>
    <mergeCell ref="C46:D46"/>
    <mergeCell ref="E46:F46"/>
    <mergeCell ref="B51:H51"/>
    <mergeCell ref="C48:D48"/>
    <mergeCell ref="E48:F48"/>
    <mergeCell ref="C47:D47"/>
    <mergeCell ref="E47:F47"/>
    <mergeCell ref="E38:F38"/>
    <mergeCell ref="C38:D38"/>
    <mergeCell ref="C26:D26"/>
    <mergeCell ref="E26:F26"/>
    <mergeCell ref="C24:D24"/>
    <mergeCell ref="E24:F24"/>
    <mergeCell ref="C25:D25"/>
    <mergeCell ref="E25:F25"/>
    <mergeCell ref="E32:F32"/>
    <mergeCell ref="C32:D32"/>
    <mergeCell ref="C35:D35"/>
    <mergeCell ref="E35:F3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E22" sqref="E22"/>
    </sheetView>
  </sheetViews>
  <sheetFormatPr baseColWidth="10" defaultColWidth="14.28515625" defaultRowHeight="12.75" x14ac:dyDescent="0.2"/>
  <cols>
    <col min="1" max="2" width="14.28515625" style="86"/>
    <col min="3" max="3" width="17" style="86" customWidth="1"/>
    <col min="4" max="4" width="14.28515625" style="86"/>
    <col min="5" max="5" width="46" style="86" customWidth="1"/>
    <col min="6" max="16384" width="14.28515625" style="86"/>
  </cols>
  <sheetData>
    <row r="1" spans="2:6" ht="24" customHeight="1" thickBot="1" x14ac:dyDescent="0.25">
      <c r="B1" s="499" t="s">
        <v>300</v>
      </c>
      <c r="C1" s="500"/>
      <c r="D1" s="500"/>
      <c r="E1" s="500"/>
      <c r="F1" s="501"/>
    </row>
    <row r="2" spans="2:6" ht="16.5" thickBot="1" x14ac:dyDescent="0.3">
      <c r="B2" s="87"/>
      <c r="C2" s="87"/>
      <c r="D2" s="87"/>
      <c r="E2" s="87"/>
      <c r="F2" s="87"/>
    </row>
    <row r="3" spans="2:6" ht="16.5" thickBot="1" x14ac:dyDescent="0.25">
      <c r="B3" s="503" t="s">
        <v>301</v>
      </c>
      <c r="C3" s="504"/>
      <c r="D3" s="504"/>
      <c r="E3" s="99" t="s">
        <v>302</v>
      </c>
      <c r="F3" s="100" t="s">
        <v>303</v>
      </c>
    </row>
    <row r="4" spans="2:6" ht="31.5" x14ac:dyDescent="0.2">
      <c r="B4" s="505" t="s">
        <v>304</v>
      </c>
      <c r="C4" s="507" t="s">
        <v>131</v>
      </c>
      <c r="D4" s="88" t="s">
        <v>144</v>
      </c>
      <c r="E4" s="89" t="s">
        <v>305</v>
      </c>
      <c r="F4" s="90">
        <v>0.25</v>
      </c>
    </row>
    <row r="5" spans="2:6" ht="47.25" x14ac:dyDescent="0.2">
      <c r="B5" s="506"/>
      <c r="C5" s="508"/>
      <c r="D5" s="91" t="s">
        <v>166</v>
      </c>
      <c r="E5" s="92" t="s">
        <v>306</v>
      </c>
      <c r="F5" s="93">
        <v>0.15</v>
      </c>
    </row>
    <row r="6" spans="2:6" ht="47.25" x14ac:dyDescent="0.2">
      <c r="B6" s="506"/>
      <c r="C6" s="508"/>
      <c r="D6" s="91" t="s">
        <v>307</v>
      </c>
      <c r="E6" s="92" t="s">
        <v>308</v>
      </c>
      <c r="F6" s="93">
        <v>0.1</v>
      </c>
    </row>
    <row r="7" spans="2:6" ht="63" x14ac:dyDescent="0.2">
      <c r="B7" s="506"/>
      <c r="C7" s="508" t="s">
        <v>132</v>
      </c>
      <c r="D7" s="91" t="s">
        <v>162</v>
      </c>
      <c r="E7" s="92" t="s">
        <v>309</v>
      </c>
      <c r="F7" s="93">
        <v>0.25</v>
      </c>
    </row>
    <row r="8" spans="2:6" ht="31.5" x14ac:dyDescent="0.2">
      <c r="B8" s="506"/>
      <c r="C8" s="508"/>
      <c r="D8" s="91" t="s">
        <v>145</v>
      </c>
      <c r="E8" s="92" t="s">
        <v>310</v>
      </c>
      <c r="F8" s="93">
        <v>0.15</v>
      </c>
    </row>
    <row r="9" spans="2:6" ht="47.25" x14ac:dyDescent="0.2">
      <c r="B9" s="506" t="s">
        <v>311</v>
      </c>
      <c r="C9" s="508" t="s">
        <v>134</v>
      </c>
      <c r="D9" s="91" t="s">
        <v>146</v>
      </c>
      <c r="E9" s="92" t="s">
        <v>312</v>
      </c>
      <c r="F9" s="94" t="s">
        <v>313</v>
      </c>
    </row>
    <row r="10" spans="2:6" ht="63" x14ac:dyDescent="0.2">
      <c r="B10" s="506"/>
      <c r="C10" s="508"/>
      <c r="D10" s="91" t="s">
        <v>314</v>
      </c>
      <c r="E10" s="92" t="s">
        <v>315</v>
      </c>
      <c r="F10" s="94" t="s">
        <v>313</v>
      </c>
    </row>
    <row r="11" spans="2:6" ht="47.25" x14ac:dyDescent="0.2">
      <c r="B11" s="506"/>
      <c r="C11" s="508" t="s">
        <v>135</v>
      </c>
      <c r="D11" s="91" t="s">
        <v>147</v>
      </c>
      <c r="E11" s="92" t="s">
        <v>316</v>
      </c>
      <c r="F11" s="94" t="s">
        <v>313</v>
      </c>
    </row>
    <row r="12" spans="2:6" ht="47.25" x14ac:dyDescent="0.2">
      <c r="B12" s="506"/>
      <c r="C12" s="508"/>
      <c r="D12" s="91" t="s">
        <v>317</v>
      </c>
      <c r="E12" s="92" t="s">
        <v>318</v>
      </c>
      <c r="F12" s="94" t="s">
        <v>313</v>
      </c>
    </row>
    <row r="13" spans="2:6" ht="31.5" x14ac:dyDescent="0.2">
      <c r="B13" s="506"/>
      <c r="C13" s="508" t="s">
        <v>136</v>
      </c>
      <c r="D13" s="91" t="s">
        <v>148</v>
      </c>
      <c r="E13" s="92" t="s">
        <v>319</v>
      </c>
      <c r="F13" s="94" t="s">
        <v>313</v>
      </c>
    </row>
    <row r="14" spans="2:6" ht="32.25" thickBot="1" x14ac:dyDescent="0.25">
      <c r="B14" s="509"/>
      <c r="C14" s="510"/>
      <c r="D14" s="95" t="s">
        <v>320</v>
      </c>
      <c r="E14" s="96" t="s">
        <v>321</v>
      </c>
      <c r="F14" s="97" t="s">
        <v>313</v>
      </c>
    </row>
    <row r="15" spans="2:6" ht="49.5" customHeight="1" x14ac:dyDescent="0.2">
      <c r="B15" s="502" t="s">
        <v>322</v>
      </c>
      <c r="C15" s="502"/>
      <c r="D15" s="502"/>
      <c r="E15" s="502"/>
      <c r="F15" s="502"/>
    </row>
    <row r="16" spans="2:6" ht="27" customHeight="1" x14ac:dyDescent="0.25">
      <c r="B16" s="9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149</v>
      </c>
      <c r="E2" t="s">
        <v>172</v>
      </c>
    </row>
    <row r="3" spans="2:5" x14ac:dyDescent="0.25">
      <c r="B3" t="s">
        <v>323</v>
      </c>
      <c r="E3" t="s">
        <v>137</v>
      </c>
    </row>
    <row r="4" spans="2:5" x14ac:dyDescent="0.25">
      <c r="B4" t="s">
        <v>324</v>
      </c>
      <c r="E4" t="s">
        <v>174</v>
      </c>
    </row>
    <row r="5" spans="2:5" x14ac:dyDescent="0.25">
      <c r="B5" t="s">
        <v>325</v>
      </c>
    </row>
    <row r="8" spans="2:5" x14ac:dyDescent="0.25">
      <c r="B8" t="s">
        <v>326</v>
      </c>
    </row>
    <row r="9" spans="2:5" x14ac:dyDescent="0.25">
      <c r="B9" t="s">
        <v>327</v>
      </c>
    </row>
    <row r="10" spans="2:5" x14ac:dyDescent="0.25">
      <c r="B10" t="s">
        <v>328</v>
      </c>
    </row>
    <row r="13" spans="2:5" x14ac:dyDescent="0.25">
      <c r="B13" t="s">
        <v>329</v>
      </c>
    </row>
    <row r="14" spans="2:5" x14ac:dyDescent="0.25">
      <c r="B14" t="s">
        <v>330</v>
      </c>
    </row>
    <row r="15" spans="2:5" x14ac:dyDescent="0.25">
      <c r="B15" t="s">
        <v>331</v>
      </c>
    </row>
    <row r="16" spans="2:5" x14ac:dyDescent="0.25">
      <c r="B16" t="s">
        <v>177</v>
      </c>
    </row>
    <row r="17" spans="2:2" x14ac:dyDescent="0.25">
      <c r="B17" t="s">
        <v>178</v>
      </c>
    </row>
    <row r="18" spans="2:2" x14ac:dyDescent="0.25">
      <c r="B18" t="s">
        <v>179</v>
      </c>
    </row>
    <row r="19" spans="2:2" x14ac:dyDescent="0.25">
      <c r="B19" t="s">
        <v>332</v>
      </c>
    </row>
  </sheetData>
  <sortState xmlns:xlrd2="http://schemas.microsoft.com/office/spreadsheetml/2017/richdata2" ref="B2:B5">
    <sortCondition ref="B2:B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144</v>
      </c>
    </row>
    <row r="4" spans="1:1" x14ac:dyDescent="0.2">
      <c r="A4" s="9" t="s">
        <v>166</v>
      </c>
    </row>
    <row r="5" spans="1:1" x14ac:dyDescent="0.2">
      <c r="A5" s="9" t="s">
        <v>307</v>
      </c>
    </row>
    <row r="6" spans="1:1" x14ac:dyDescent="0.2">
      <c r="A6" s="9" t="s">
        <v>162</v>
      </c>
    </row>
    <row r="7" spans="1:1" x14ac:dyDescent="0.2">
      <c r="A7" s="9" t="s">
        <v>145</v>
      </c>
    </row>
    <row r="8" spans="1:1" x14ac:dyDescent="0.2">
      <c r="A8" s="9" t="s">
        <v>146</v>
      </c>
    </row>
    <row r="9" spans="1:1" x14ac:dyDescent="0.2">
      <c r="A9" s="9" t="s">
        <v>314</v>
      </c>
    </row>
    <row r="10" spans="1:1" x14ac:dyDescent="0.2">
      <c r="A10" s="9" t="s">
        <v>147</v>
      </c>
    </row>
    <row r="11" spans="1:1" x14ac:dyDescent="0.2">
      <c r="A11" s="9" t="s">
        <v>317</v>
      </c>
    </row>
    <row r="12" spans="1:1" x14ac:dyDescent="0.2">
      <c r="A12" s="9" t="s">
        <v>333</v>
      </c>
    </row>
    <row r="13" spans="1:1" x14ac:dyDescent="0.2">
      <c r="A13" s="9" t="s">
        <v>334</v>
      </c>
    </row>
    <row r="14" spans="1:1" x14ac:dyDescent="0.2">
      <c r="A14" s="9" t="s">
        <v>335</v>
      </c>
    </row>
    <row r="16" spans="1:1" x14ac:dyDescent="0.2">
      <c r="A16" s="9" t="s">
        <v>336</v>
      </c>
    </row>
    <row r="17" spans="1:1" x14ac:dyDescent="0.2">
      <c r="A17" s="9" t="s">
        <v>149</v>
      </c>
    </row>
    <row r="18" spans="1:1" x14ac:dyDescent="0.2">
      <c r="A18" s="9" t="s">
        <v>323</v>
      </c>
    </row>
    <row r="20" spans="1:1" x14ac:dyDescent="0.2">
      <c r="A20" s="9" t="s">
        <v>327</v>
      </c>
    </row>
    <row r="21" spans="1:1" x14ac:dyDescent="0.2">
      <c r="A21" s="9" t="s">
        <v>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C7F2-2557-0141-AE89-C47E0A8CCE40}">
  <dimension ref="B4:E15"/>
  <sheetViews>
    <sheetView showGridLines="0" zoomScale="130" zoomScaleNormal="130" workbookViewId="0">
      <selection activeCell="E9" sqref="E9"/>
    </sheetView>
  </sheetViews>
  <sheetFormatPr baseColWidth="10" defaultColWidth="11.42578125" defaultRowHeight="15" x14ac:dyDescent="0.25"/>
  <cols>
    <col min="3" max="3" width="46.42578125" customWidth="1"/>
    <col min="4" max="4" width="58" customWidth="1"/>
    <col min="5" max="5" width="38.85546875" customWidth="1"/>
  </cols>
  <sheetData>
    <row r="4" spans="2:5" ht="52.5" customHeight="1" x14ac:dyDescent="0.25">
      <c r="B4" s="259" t="s">
        <v>60</v>
      </c>
      <c r="C4" s="259"/>
      <c r="D4" s="259"/>
    </row>
    <row r="5" spans="2:5" ht="6.75" customHeight="1" x14ac:dyDescent="0.25">
      <c r="D5" s="135"/>
    </row>
    <row r="6" spans="2:5" ht="15" customHeight="1" x14ac:dyDescent="0.25">
      <c r="B6" s="260" t="s">
        <v>61</v>
      </c>
      <c r="C6" s="215" t="s">
        <v>62</v>
      </c>
      <c r="D6" s="215" t="s">
        <v>63</v>
      </c>
    </row>
    <row r="7" spans="2:5" ht="123" customHeight="1" x14ac:dyDescent="0.25">
      <c r="B7" s="260"/>
      <c r="C7" s="216" t="s">
        <v>64</v>
      </c>
      <c r="D7" s="217" t="s">
        <v>65</v>
      </c>
      <c r="E7" s="214"/>
    </row>
    <row r="8" spans="2:5" ht="81.75" customHeight="1" x14ac:dyDescent="0.25">
      <c r="B8" s="260"/>
      <c r="C8" s="216" t="s">
        <v>66</v>
      </c>
      <c r="D8" s="217" t="s">
        <v>337</v>
      </c>
      <c r="E8" s="214"/>
    </row>
    <row r="9" spans="2:5" ht="41.25" customHeight="1" x14ac:dyDescent="0.25">
      <c r="B9" s="260"/>
      <c r="C9" s="216" t="s">
        <v>67</v>
      </c>
      <c r="D9" s="217" t="s">
        <v>68</v>
      </c>
    </row>
    <row r="10" spans="2:5" ht="60.75" customHeight="1" x14ac:dyDescent="0.25">
      <c r="B10" s="260"/>
      <c r="C10" s="216" t="s">
        <v>69</v>
      </c>
      <c r="D10" s="217" t="s">
        <v>70</v>
      </c>
    </row>
    <row r="11" spans="2:5" ht="81.75" customHeight="1" x14ac:dyDescent="0.25">
      <c r="B11" s="260"/>
      <c r="C11" s="216" t="s">
        <v>71</v>
      </c>
      <c r="D11" s="217" t="s">
        <v>72</v>
      </c>
    </row>
    <row r="12" spans="2:5" ht="15.75" customHeight="1" x14ac:dyDescent="0.25">
      <c r="B12" s="260" t="s">
        <v>73</v>
      </c>
      <c r="C12" s="215" t="s">
        <v>74</v>
      </c>
      <c r="D12" s="215" t="s">
        <v>75</v>
      </c>
    </row>
    <row r="13" spans="2:5" ht="147" customHeight="1" x14ac:dyDescent="0.25">
      <c r="B13" s="260"/>
      <c r="C13" s="217" t="s">
        <v>76</v>
      </c>
      <c r="D13" s="216" t="s">
        <v>77</v>
      </c>
    </row>
    <row r="14" spans="2:5" ht="233.25" customHeight="1" x14ac:dyDescent="0.25">
      <c r="B14" s="260"/>
      <c r="C14" s="216" t="s">
        <v>78</v>
      </c>
      <c r="D14" s="216" t="s">
        <v>79</v>
      </c>
    </row>
    <row r="15" spans="2:5" ht="91.5" customHeight="1" x14ac:dyDescent="0.25">
      <c r="B15" s="260"/>
      <c r="C15" s="217" t="s">
        <v>80</v>
      </c>
      <c r="D15" s="218" t="s">
        <v>338</v>
      </c>
    </row>
  </sheetData>
  <mergeCells count="3">
    <mergeCell ref="B4:D4"/>
    <mergeCell ref="B6:B11"/>
    <mergeCell ref="B12: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7"/>
  <sheetViews>
    <sheetView showGridLines="0" tabSelected="1" topLeftCell="C19" zoomScale="90" zoomScaleNormal="90" workbookViewId="0">
      <selection activeCell="P21" sqref="P21:S21"/>
    </sheetView>
  </sheetViews>
  <sheetFormatPr baseColWidth="10" defaultColWidth="11.42578125" defaultRowHeight="16.5" x14ac:dyDescent="0.3"/>
  <cols>
    <col min="1" max="1" width="4" style="2" bestFit="1" customWidth="1"/>
    <col min="2" max="2" width="14.140625" style="2" customWidth="1"/>
    <col min="3" max="3" width="27.85546875" style="2" customWidth="1"/>
    <col min="4" max="4" width="25.7109375" style="2" customWidth="1"/>
    <col min="5" max="5" width="23.140625" style="1" customWidth="1"/>
    <col min="6" max="6" width="19" style="4" customWidth="1"/>
    <col min="7" max="7" width="17.85546875" style="1" customWidth="1"/>
    <col min="8" max="8" width="16.42578125" style="1" customWidth="1"/>
    <col min="9" max="9" width="6.28515625" style="1" bestFit="1" customWidth="1"/>
    <col min="10" max="10" width="27.28515625" style="1" bestFit="1" customWidth="1"/>
    <col min="11" max="11" width="30.42578125" style="1" hidden="1" customWidth="1"/>
    <col min="12" max="12" width="17.42578125" style="1" customWidth="1"/>
    <col min="13" max="13" width="6.28515625" style="1" bestFit="1" customWidth="1"/>
    <col min="14" max="14" width="12.7109375" style="1" customWidth="1"/>
    <col min="15" max="15" width="22.85546875" style="1" bestFit="1" customWidth="1"/>
    <col min="16" max="16" width="66.140625" style="1" customWidth="1"/>
    <col min="17" max="17" width="15.140625" style="1" bestFit="1" customWidth="1"/>
    <col min="18" max="18" width="6.85546875" style="1" customWidth="1"/>
    <col min="19" max="19" width="12" style="1" customWidth="1"/>
    <col min="20" max="20" width="5.42578125" style="1" customWidth="1"/>
    <col min="21" max="21" width="7.140625" style="1" customWidth="1"/>
    <col min="22" max="22" width="6.7109375" style="1" customWidth="1"/>
    <col min="23" max="23" width="7.42578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27.7109375" style="1" customWidth="1"/>
    <col min="34" max="34" width="14.85546875" style="1" customWidth="1"/>
    <col min="35" max="35" width="18.42578125" style="1" customWidth="1"/>
    <col min="36" max="36" width="21" style="1" customWidth="1"/>
    <col min="37" max="16384" width="11.42578125" style="1"/>
  </cols>
  <sheetData>
    <row r="1" spans="1:52" ht="36.950000000000003" customHeight="1" x14ac:dyDescent="0.3">
      <c r="A1" s="342" t="s">
        <v>81</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138" t="s">
        <v>82</v>
      </c>
      <c r="AG1" s="143" t="s">
        <v>83</v>
      </c>
      <c r="AH1" s="170"/>
      <c r="AI1" s="170"/>
      <c r="AJ1" s="170"/>
      <c r="AK1" s="170"/>
      <c r="AL1" s="136"/>
      <c r="AM1" s="136"/>
      <c r="AN1" s="136"/>
      <c r="AO1" s="136"/>
      <c r="AP1" s="137"/>
      <c r="AQ1" s="137"/>
      <c r="AR1" s="137"/>
      <c r="AS1" s="137"/>
      <c r="AT1" s="137"/>
      <c r="AU1" s="137"/>
      <c r="AV1" s="137"/>
      <c r="AW1" s="137"/>
      <c r="AX1" s="137"/>
      <c r="AY1" s="137"/>
      <c r="AZ1" s="137"/>
    </row>
    <row r="2" spans="1:52" x14ac:dyDescent="0.3">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138" t="s">
        <v>84</v>
      </c>
      <c r="AG2" s="143">
        <v>6</v>
      </c>
      <c r="AH2" s="139"/>
      <c r="AI2" s="140"/>
      <c r="AJ2" s="140"/>
      <c r="AK2" s="141"/>
      <c r="AL2" s="140"/>
      <c r="AM2" s="140"/>
      <c r="AN2" s="137"/>
      <c r="AO2" s="142"/>
      <c r="AP2" s="137"/>
      <c r="AQ2" s="137"/>
      <c r="AR2" s="137"/>
      <c r="AS2" s="137"/>
      <c r="AT2" s="137"/>
      <c r="AU2" s="137"/>
      <c r="AV2" s="137"/>
      <c r="AW2" s="137"/>
      <c r="AX2" s="137"/>
      <c r="AY2" s="137"/>
      <c r="AZ2" s="137"/>
    </row>
    <row r="3" spans="1:52" x14ac:dyDescent="0.3">
      <c r="A3" s="34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138" t="s">
        <v>85</v>
      </c>
      <c r="AG3" s="145" t="s">
        <v>86</v>
      </c>
      <c r="AH3" s="139"/>
      <c r="AI3" s="140"/>
      <c r="AJ3" s="140"/>
      <c r="AK3" s="141"/>
      <c r="AL3" s="140"/>
      <c r="AM3" s="140"/>
      <c r="AN3" s="137"/>
      <c r="AO3" s="142"/>
      <c r="AP3" s="137"/>
      <c r="AQ3" s="137"/>
      <c r="AR3" s="137"/>
      <c r="AS3" s="137"/>
      <c r="AT3" s="137"/>
      <c r="AU3" s="137"/>
      <c r="AV3" s="137"/>
      <c r="AW3" s="137"/>
      <c r="AX3" s="137"/>
      <c r="AY3" s="137"/>
      <c r="AZ3" s="137"/>
    </row>
    <row r="4" spans="1:52" ht="15.95" customHeight="1" x14ac:dyDescent="0.3">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147" t="s">
        <v>87</v>
      </c>
      <c r="AG4" s="187">
        <v>241903</v>
      </c>
      <c r="AH4" s="139"/>
      <c r="AI4" s="140"/>
      <c r="AJ4" s="140"/>
      <c r="AK4" s="141"/>
      <c r="AL4" s="140"/>
      <c r="AM4" s="140"/>
      <c r="AN4" s="137"/>
      <c r="AO4" s="142"/>
      <c r="AP4" s="137"/>
      <c r="AQ4" s="137"/>
      <c r="AR4" s="137"/>
      <c r="AS4" s="137"/>
      <c r="AT4" s="137"/>
      <c r="AU4" s="137"/>
      <c r="AV4" s="137"/>
      <c r="AW4" s="137"/>
      <c r="AX4" s="137"/>
      <c r="AY4" s="137"/>
      <c r="AZ4" s="137"/>
    </row>
    <row r="5" spans="1:52" ht="24" customHeight="1" x14ac:dyDescent="0.3">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H5" s="139"/>
      <c r="AI5" s="140"/>
      <c r="AJ5" s="140"/>
      <c r="AK5" s="141"/>
      <c r="AL5" s="140"/>
      <c r="AM5" s="140"/>
      <c r="AN5" s="137"/>
      <c r="AO5" s="142"/>
      <c r="AP5" s="137"/>
      <c r="AQ5" s="137"/>
      <c r="AR5" s="137"/>
      <c r="AS5" s="137"/>
      <c r="AT5" s="137"/>
      <c r="AU5" s="137"/>
      <c r="AV5" s="137"/>
      <c r="AW5" s="137"/>
      <c r="AX5" s="137"/>
      <c r="AY5" s="137"/>
      <c r="AZ5" s="137"/>
    </row>
    <row r="6" spans="1:52" x14ac:dyDescent="0.3">
      <c r="A6" s="144"/>
      <c r="B6" s="144"/>
      <c r="C6" s="169"/>
      <c r="D6" s="146"/>
      <c r="E6" s="146"/>
      <c r="F6" s="146"/>
      <c r="G6" s="146"/>
      <c r="H6" s="146"/>
      <c r="I6" s="146"/>
      <c r="J6" s="146"/>
      <c r="K6" s="167"/>
      <c r="L6" s="146"/>
      <c r="M6" s="137"/>
      <c r="N6" s="137"/>
      <c r="O6" s="137"/>
      <c r="P6" s="146"/>
      <c r="Q6" s="144"/>
      <c r="R6" s="144"/>
      <c r="S6" s="144"/>
      <c r="T6" s="148"/>
      <c r="U6" s="148"/>
      <c r="V6" s="148"/>
      <c r="W6" s="148"/>
      <c r="X6" s="148"/>
      <c r="Y6" s="148"/>
      <c r="Z6" s="148"/>
      <c r="AA6" s="149"/>
      <c r="AB6" s="149"/>
      <c r="AC6" s="149"/>
      <c r="AD6" s="149"/>
      <c r="AE6" s="149"/>
      <c r="AH6" s="150"/>
      <c r="AI6" s="151"/>
      <c r="AJ6" s="151"/>
      <c r="AK6" s="151"/>
      <c r="AL6" s="151"/>
      <c r="AM6" s="151"/>
      <c r="AN6" s="152"/>
      <c r="AO6" s="152"/>
      <c r="AP6" s="152"/>
      <c r="AQ6" s="152"/>
      <c r="AR6" s="149"/>
      <c r="AS6" s="149"/>
      <c r="AT6" s="149"/>
      <c r="AU6" s="149"/>
      <c r="AV6" s="149"/>
      <c r="AW6" s="149"/>
      <c r="AX6" s="149"/>
      <c r="AY6" s="149"/>
      <c r="AZ6" s="149"/>
    </row>
    <row r="7" spans="1:52" ht="27.95" customHeight="1" x14ac:dyDescent="0.3">
      <c r="A7" s="156"/>
      <c r="B7" s="156"/>
      <c r="C7" s="137"/>
      <c r="D7" s="137"/>
      <c r="E7" s="137"/>
      <c r="F7" s="137"/>
      <c r="G7" s="137"/>
      <c r="H7" s="137"/>
      <c r="I7" s="137"/>
      <c r="J7" s="137"/>
      <c r="L7" s="137"/>
      <c r="M7" s="137"/>
      <c r="N7" s="346" t="s">
        <v>88</v>
      </c>
      <c r="O7" s="346"/>
      <c r="P7" s="346"/>
      <c r="Q7" s="346"/>
      <c r="R7" s="346"/>
      <c r="S7" s="346"/>
      <c r="T7" s="138"/>
      <c r="U7" s="138"/>
      <c r="V7" s="138"/>
      <c r="W7" s="138"/>
      <c r="X7" s="138"/>
      <c r="Y7" s="138"/>
      <c r="Z7" s="138"/>
      <c r="AA7" s="153"/>
      <c r="AB7" s="153"/>
      <c r="AC7" s="153"/>
      <c r="AD7" s="153"/>
      <c r="AE7" s="153"/>
      <c r="AF7" s="153"/>
      <c r="AG7" s="153"/>
      <c r="AH7" s="139"/>
      <c r="AI7" s="140"/>
      <c r="AJ7" s="140"/>
      <c r="AK7" s="140"/>
      <c r="AL7" s="140"/>
      <c r="AM7" s="140"/>
      <c r="AN7" s="154">
        <v>0</v>
      </c>
      <c r="AO7" s="155"/>
      <c r="AP7" s="154"/>
      <c r="AQ7" s="154"/>
      <c r="AR7" s="137"/>
      <c r="AS7" s="137"/>
      <c r="AT7" s="137"/>
      <c r="AU7" s="137"/>
      <c r="AV7" s="137"/>
      <c r="AW7" s="137"/>
      <c r="AX7" s="137"/>
      <c r="AY7" s="137"/>
      <c r="AZ7" s="137"/>
    </row>
    <row r="8" spans="1:52" ht="16.5" customHeight="1" x14ac:dyDescent="0.3">
      <c r="A8" s="156"/>
      <c r="B8" s="156"/>
      <c r="C8" s="137"/>
      <c r="D8" s="137"/>
      <c r="E8" s="137"/>
      <c r="F8" s="137"/>
      <c r="G8" s="137"/>
      <c r="H8" s="137"/>
      <c r="I8" s="137"/>
      <c r="J8" s="137"/>
      <c r="L8" s="137"/>
      <c r="M8" s="137"/>
      <c r="N8" s="168" t="s">
        <v>89</v>
      </c>
      <c r="O8" s="168" t="s">
        <v>90</v>
      </c>
      <c r="P8" s="348" t="s">
        <v>91</v>
      </c>
      <c r="Q8" s="349"/>
      <c r="R8" s="349"/>
      <c r="S8" s="350"/>
      <c r="T8" s="138"/>
      <c r="U8" s="138"/>
      <c r="V8" s="138"/>
      <c r="W8" s="138"/>
      <c r="X8" s="138"/>
      <c r="Y8" s="138"/>
      <c r="Z8" s="138"/>
      <c r="AA8" s="153"/>
      <c r="AB8" s="153"/>
      <c r="AC8" s="153"/>
      <c r="AD8" s="153"/>
      <c r="AE8" s="153"/>
      <c r="AF8" s="153"/>
      <c r="AG8" s="153"/>
      <c r="AH8" s="139"/>
      <c r="AI8" s="140"/>
      <c r="AJ8" s="140"/>
      <c r="AK8" s="140"/>
      <c r="AL8" s="140"/>
      <c r="AM8" s="140"/>
      <c r="AN8" s="154">
        <v>0</v>
      </c>
      <c r="AO8" s="155"/>
      <c r="AP8" s="154"/>
      <c r="AQ8" s="154"/>
      <c r="AR8" s="137"/>
      <c r="AS8" s="137"/>
      <c r="AT8" s="137"/>
      <c r="AU8" s="137"/>
      <c r="AV8" s="137"/>
      <c r="AW8" s="137"/>
      <c r="AX8" s="137"/>
      <c r="AY8" s="137"/>
      <c r="AZ8" s="137"/>
    </row>
    <row r="9" spans="1:52" ht="26.25" customHeight="1" x14ac:dyDescent="0.3">
      <c r="A9" s="156"/>
      <c r="B9" s="156"/>
      <c r="C9" s="137"/>
      <c r="D9" s="137"/>
      <c r="E9" s="137"/>
      <c r="F9" s="137"/>
      <c r="G9" s="137"/>
      <c r="H9" s="137"/>
      <c r="I9" s="137"/>
      <c r="J9" s="137"/>
      <c r="L9" s="137"/>
      <c r="M9" s="137"/>
      <c r="N9" s="198">
        <v>1</v>
      </c>
      <c r="O9" s="199">
        <v>39500</v>
      </c>
      <c r="P9" s="351" t="s">
        <v>92</v>
      </c>
      <c r="Q9" s="352"/>
      <c r="R9" s="352"/>
      <c r="S9" s="353"/>
      <c r="T9" s="138"/>
      <c r="U9" s="138"/>
      <c r="V9" s="138"/>
      <c r="W9" s="347"/>
      <c r="X9" s="347"/>
      <c r="Y9" s="347"/>
      <c r="Z9" s="347"/>
      <c r="AA9" s="347"/>
      <c r="AB9" s="347"/>
      <c r="AC9" s="162"/>
      <c r="AD9" s="162"/>
      <c r="AE9" s="162"/>
      <c r="AF9" s="137"/>
      <c r="AG9" s="137"/>
      <c r="AH9" s="139"/>
      <c r="AI9" s="140"/>
      <c r="AJ9" s="140"/>
      <c r="AK9" s="140"/>
      <c r="AL9" s="140"/>
      <c r="AM9" s="140"/>
      <c r="AN9" s="154">
        <v>0</v>
      </c>
      <c r="AO9" s="155"/>
      <c r="AP9" s="154"/>
      <c r="AQ9" s="154"/>
      <c r="AR9" s="137"/>
      <c r="AS9" s="137"/>
      <c r="AT9" s="137"/>
      <c r="AU9" s="137"/>
      <c r="AV9" s="137"/>
      <c r="AW9" s="137"/>
      <c r="AX9" s="137"/>
      <c r="AY9" s="137"/>
      <c r="AZ9" s="137"/>
    </row>
    <row r="10" spans="1:52" ht="41.25" customHeight="1" x14ac:dyDescent="0.3">
      <c r="A10" s="156"/>
      <c r="B10" s="156"/>
      <c r="C10" s="137"/>
      <c r="D10" s="137"/>
      <c r="E10" s="137"/>
      <c r="F10" s="137"/>
      <c r="G10" s="137"/>
      <c r="H10" s="137"/>
      <c r="I10" s="137"/>
      <c r="J10" s="137"/>
      <c r="L10" s="137"/>
      <c r="M10" s="137"/>
      <c r="N10" s="198">
        <v>2</v>
      </c>
      <c r="O10" s="199">
        <v>40084</v>
      </c>
      <c r="P10" s="351" t="s">
        <v>93</v>
      </c>
      <c r="Q10" s="352"/>
      <c r="R10" s="352"/>
      <c r="S10" s="353"/>
      <c r="T10" s="138"/>
      <c r="U10" s="138"/>
      <c r="V10" s="138"/>
      <c r="W10" s="162"/>
      <c r="X10" s="162"/>
      <c r="Y10" s="162"/>
      <c r="Z10" s="162"/>
      <c r="AA10" s="162"/>
      <c r="AB10" s="162"/>
      <c r="AC10" s="162"/>
      <c r="AD10" s="162"/>
      <c r="AE10" s="162"/>
      <c r="AF10" s="137"/>
      <c r="AG10" s="137"/>
      <c r="AH10" s="139"/>
      <c r="AI10" s="140"/>
      <c r="AJ10" s="140"/>
      <c r="AK10" s="140"/>
      <c r="AL10" s="140"/>
      <c r="AM10" s="140"/>
      <c r="AN10" s="154"/>
      <c r="AO10" s="155"/>
      <c r="AP10" s="154"/>
      <c r="AQ10" s="154"/>
      <c r="AR10" s="137"/>
      <c r="AS10" s="137"/>
      <c r="AT10" s="137"/>
      <c r="AU10" s="137"/>
      <c r="AV10" s="137"/>
      <c r="AW10" s="137"/>
      <c r="AX10" s="137"/>
      <c r="AY10" s="137"/>
      <c r="AZ10" s="137"/>
    </row>
    <row r="11" spans="1:52" ht="39" customHeight="1" x14ac:dyDescent="0.3">
      <c r="A11" s="156"/>
      <c r="B11" s="156"/>
      <c r="C11" s="137"/>
      <c r="D11" s="137"/>
      <c r="E11" s="137"/>
      <c r="F11" s="137"/>
      <c r="G11" s="137"/>
      <c r="H11" s="137"/>
      <c r="I11" s="137"/>
      <c r="J11" s="137"/>
      <c r="L11" s="137"/>
      <c r="M11" s="137"/>
      <c r="N11" s="198">
        <v>3</v>
      </c>
      <c r="O11" s="199">
        <v>41060</v>
      </c>
      <c r="P11" s="351" t="s">
        <v>94</v>
      </c>
      <c r="Q11" s="352"/>
      <c r="R11" s="352"/>
      <c r="S11" s="353"/>
      <c r="T11" s="138"/>
      <c r="U11" s="138"/>
      <c r="V11" s="138"/>
      <c r="W11" s="162"/>
      <c r="X11" s="162"/>
      <c r="Y11" s="162"/>
      <c r="Z11" s="162"/>
      <c r="AA11" s="162"/>
      <c r="AB11" s="162"/>
      <c r="AC11" s="162"/>
      <c r="AD11" s="162"/>
      <c r="AE11" s="162"/>
      <c r="AF11" s="137"/>
      <c r="AG11" s="137"/>
      <c r="AH11" s="139"/>
      <c r="AI11" s="140"/>
      <c r="AJ11" s="140"/>
      <c r="AK11" s="140"/>
      <c r="AL11" s="140"/>
      <c r="AM11" s="140"/>
      <c r="AN11" s="154"/>
      <c r="AO11" s="155"/>
      <c r="AP11" s="154"/>
      <c r="AQ11" s="154"/>
      <c r="AR11" s="137"/>
      <c r="AS11" s="137"/>
      <c r="AT11" s="137"/>
      <c r="AU11" s="137"/>
      <c r="AV11" s="137"/>
      <c r="AW11" s="137"/>
      <c r="AX11" s="137"/>
      <c r="AY11" s="137"/>
      <c r="AZ11" s="137"/>
    </row>
    <row r="12" spans="1:52" ht="39.75" customHeight="1" x14ac:dyDescent="0.3">
      <c r="A12" s="156"/>
      <c r="B12" s="156"/>
      <c r="C12" s="137"/>
      <c r="D12" s="137"/>
      <c r="E12" s="137"/>
      <c r="F12" s="137"/>
      <c r="G12" s="137"/>
      <c r="H12" s="137"/>
      <c r="I12" s="137"/>
      <c r="J12" s="137"/>
      <c r="L12" s="137"/>
      <c r="M12" s="137"/>
      <c r="N12" s="198">
        <v>4</v>
      </c>
      <c r="O12" s="199">
        <v>41548</v>
      </c>
      <c r="P12" s="351" t="s">
        <v>95</v>
      </c>
      <c r="Q12" s="352"/>
      <c r="R12" s="352"/>
      <c r="S12" s="353"/>
      <c r="T12" s="138"/>
      <c r="U12" s="138"/>
      <c r="V12" s="138"/>
      <c r="W12" s="162"/>
      <c r="X12" s="162"/>
      <c r="Y12" s="162"/>
      <c r="Z12" s="162"/>
      <c r="AA12" s="162"/>
      <c r="AB12" s="162"/>
      <c r="AC12" s="162"/>
      <c r="AD12" s="162"/>
      <c r="AE12" s="162"/>
      <c r="AF12" s="137"/>
      <c r="AG12" s="137"/>
      <c r="AH12" s="139"/>
      <c r="AI12" s="140"/>
      <c r="AJ12" s="140"/>
      <c r="AK12" s="140"/>
      <c r="AL12" s="140"/>
      <c r="AM12" s="140"/>
      <c r="AN12" s="154"/>
      <c r="AO12" s="155"/>
      <c r="AP12" s="154"/>
      <c r="AQ12" s="154"/>
      <c r="AR12" s="137"/>
      <c r="AS12" s="137"/>
      <c r="AT12" s="137"/>
      <c r="AU12" s="137"/>
      <c r="AV12" s="137"/>
      <c r="AW12" s="137"/>
      <c r="AX12" s="137"/>
      <c r="AY12" s="137"/>
      <c r="AZ12" s="137"/>
    </row>
    <row r="13" spans="1:52" ht="37.5" customHeight="1" x14ac:dyDescent="0.3">
      <c r="A13" s="156"/>
      <c r="B13" s="156"/>
      <c r="C13" s="137"/>
      <c r="D13" s="137"/>
      <c r="E13" s="137"/>
      <c r="F13" s="137"/>
      <c r="G13" s="137"/>
      <c r="H13" s="137"/>
      <c r="I13" s="137"/>
      <c r="J13" s="137"/>
      <c r="L13" s="137"/>
      <c r="M13" s="137"/>
      <c r="N13" s="198">
        <v>5</v>
      </c>
      <c r="O13" s="199">
        <v>41939</v>
      </c>
      <c r="P13" s="351" t="s">
        <v>96</v>
      </c>
      <c r="Q13" s="352"/>
      <c r="R13" s="352"/>
      <c r="S13" s="353"/>
      <c r="T13" s="138"/>
      <c r="U13" s="138"/>
      <c r="V13" s="138"/>
      <c r="W13" s="162"/>
      <c r="X13" s="162"/>
      <c r="Y13" s="162"/>
      <c r="Z13" s="162"/>
      <c r="AA13" s="162"/>
      <c r="AB13" s="162"/>
      <c r="AC13" s="162"/>
      <c r="AD13" s="162"/>
      <c r="AE13" s="162"/>
      <c r="AF13" s="137"/>
      <c r="AG13" s="137"/>
      <c r="AH13" s="139"/>
      <c r="AI13" s="140"/>
      <c r="AJ13" s="140"/>
      <c r="AK13" s="140"/>
      <c r="AL13" s="140"/>
      <c r="AM13" s="140"/>
      <c r="AN13" s="154"/>
      <c r="AO13" s="155"/>
      <c r="AP13" s="154"/>
      <c r="AQ13" s="154"/>
      <c r="AR13" s="137"/>
      <c r="AS13" s="137"/>
      <c r="AT13" s="137"/>
      <c r="AU13" s="137"/>
      <c r="AV13" s="137"/>
      <c r="AW13" s="137"/>
      <c r="AX13" s="137"/>
      <c r="AY13" s="137"/>
      <c r="AZ13" s="137"/>
    </row>
    <row r="14" spans="1:52" ht="56.25" customHeight="1" x14ac:dyDescent="0.3">
      <c r="A14" s="156"/>
      <c r="B14" s="156"/>
      <c r="C14" s="137"/>
      <c r="D14" s="137"/>
      <c r="E14" s="137"/>
      <c r="F14" s="137"/>
      <c r="G14" s="137"/>
      <c r="H14" s="137"/>
      <c r="I14" s="137"/>
      <c r="J14" s="137"/>
      <c r="L14" s="137"/>
      <c r="M14" s="137"/>
      <c r="N14" s="198">
        <v>6</v>
      </c>
      <c r="O14" s="199">
        <v>42359</v>
      </c>
      <c r="P14" s="351" t="s">
        <v>97</v>
      </c>
      <c r="Q14" s="352"/>
      <c r="R14" s="352"/>
      <c r="S14" s="353"/>
      <c r="T14" s="138"/>
      <c r="U14" s="138"/>
      <c r="V14" s="138"/>
      <c r="W14" s="162"/>
      <c r="X14" s="162"/>
      <c r="Y14" s="162"/>
      <c r="Z14" s="162"/>
      <c r="AA14" s="162"/>
      <c r="AB14" s="162"/>
      <c r="AC14" s="162"/>
      <c r="AD14" s="162"/>
      <c r="AE14" s="162"/>
      <c r="AF14" s="137"/>
      <c r="AG14" s="137"/>
      <c r="AH14" s="139"/>
      <c r="AI14" s="140"/>
      <c r="AJ14" s="140"/>
      <c r="AK14" s="140"/>
      <c r="AL14" s="140"/>
      <c r="AM14" s="140"/>
      <c r="AN14" s="154"/>
      <c r="AO14" s="155"/>
      <c r="AP14" s="154"/>
      <c r="AQ14" s="154"/>
      <c r="AR14" s="137"/>
      <c r="AS14" s="137"/>
      <c r="AT14" s="137"/>
      <c r="AU14" s="137"/>
      <c r="AV14" s="137"/>
      <c r="AW14" s="137"/>
      <c r="AX14" s="137"/>
      <c r="AY14" s="137"/>
      <c r="AZ14" s="137"/>
    </row>
    <row r="15" spans="1:52" ht="98.25" customHeight="1" x14ac:dyDescent="0.3">
      <c r="A15" s="156"/>
      <c r="B15" s="156"/>
      <c r="C15" s="137"/>
      <c r="D15" s="137"/>
      <c r="E15" s="137"/>
      <c r="F15" s="137"/>
      <c r="G15" s="137"/>
      <c r="H15" s="137"/>
      <c r="I15" s="137"/>
      <c r="J15" s="137"/>
      <c r="L15" s="137"/>
      <c r="M15" s="137"/>
      <c r="N15" s="198">
        <v>1</v>
      </c>
      <c r="O15" s="199">
        <v>43000</v>
      </c>
      <c r="P15" s="351" t="s">
        <v>98</v>
      </c>
      <c r="Q15" s="352"/>
      <c r="R15" s="352"/>
      <c r="S15" s="353"/>
      <c r="T15" s="138"/>
      <c r="U15" s="138"/>
      <c r="V15" s="138"/>
      <c r="W15" s="162"/>
      <c r="X15" s="162"/>
      <c r="Y15" s="162"/>
      <c r="Z15" s="162"/>
      <c r="AA15" s="162"/>
      <c r="AB15" s="162"/>
      <c r="AC15" s="162"/>
      <c r="AD15" s="162"/>
      <c r="AE15" s="162"/>
      <c r="AF15" s="137"/>
      <c r="AG15" s="137"/>
      <c r="AH15" s="139"/>
      <c r="AI15" s="140"/>
      <c r="AJ15" s="140"/>
      <c r="AK15" s="140"/>
      <c r="AL15" s="140"/>
      <c r="AM15" s="140"/>
      <c r="AN15" s="154"/>
      <c r="AO15" s="155"/>
      <c r="AP15" s="154"/>
      <c r="AQ15" s="154"/>
      <c r="AR15" s="137"/>
      <c r="AS15" s="137"/>
      <c r="AT15" s="137"/>
      <c r="AU15" s="137"/>
      <c r="AV15" s="137"/>
      <c r="AW15" s="137"/>
      <c r="AX15" s="137"/>
      <c r="AY15" s="137"/>
      <c r="AZ15" s="137"/>
    </row>
    <row r="16" spans="1:52" ht="97.5" customHeight="1" x14ac:dyDescent="0.3">
      <c r="A16" s="156"/>
      <c r="B16" s="156"/>
      <c r="C16" s="137"/>
      <c r="D16" s="137"/>
      <c r="E16" s="137"/>
      <c r="F16" s="137"/>
      <c r="G16" s="137"/>
      <c r="H16" s="137"/>
      <c r="I16" s="137"/>
      <c r="J16" s="137"/>
      <c r="L16" s="137"/>
      <c r="M16" s="137"/>
      <c r="N16" s="198">
        <v>2</v>
      </c>
      <c r="O16" s="199">
        <v>43759</v>
      </c>
      <c r="P16" s="351" t="s">
        <v>99</v>
      </c>
      <c r="Q16" s="352"/>
      <c r="R16" s="352"/>
      <c r="S16" s="353"/>
      <c r="T16" s="138"/>
      <c r="U16" s="138"/>
      <c r="V16" s="138"/>
      <c r="W16" s="162"/>
      <c r="X16" s="162"/>
      <c r="Y16" s="162"/>
      <c r="Z16" s="162"/>
      <c r="AA16" s="162"/>
      <c r="AB16" s="162"/>
      <c r="AC16" s="162"/>
      <c r="AD16" s="162"/>
      <c r="AE16" s="162"/>
      <c r="AF16" s="137"/>
      <c r="AG16" s="137"/>
      <c r="AH16" s="139"/>
      <c r="AI16" s="140"/>
      <c r="AJ16" s="140"/>
      <c r="AK16" s="140"/>
      <c r="AL16" s="140"/>
      <c r="AM16" s="140"/>
      <c r="AN16" s="154"/>
      <c r="AO16" s="155"/>
      <c r="AP16" s="154"/>
      <c r="AQ16" s="154"/>
      <c r="AR16" s="137"/>
      <c r="AS16" s="137"/>
      <c r="AT16" s="137"/>
      <c r="AU16" s="137"/>
      <c r="AV16" s="137"/>
      <c r="AW16" s="137"/>
      <c r="AX16" s="137"/>
      <c r="AY16" s="137"/>
      <c r="AZ16" s="137"/>
    </row>
    <row r="17" spans="1:68" ht="107.25" customHeight="1" x14ac:dyDescent="0.3">
      <c r="A17" s="156"/>
      <c r="B17" s="156"/>
      <c r="C17" s="137"/>
      <c r="D17" s="137"/>
      <c r="E17" s="137"/>
      <c r="F17" s="137"/>
      <c r="G17" s="137"/>
      <c r="H17" s="137"/>
      <c r="I17" s="137"/>
      <c r="J17" s="137"/>
      <c r="L17" s="137"/>
      <c r="M17" s="137"/>
      <c r="N17" s="198">
        <v>3</v>
      </c>
      <c r="O17" s="199">
        <v>44188</v>
      </c>
      <c r="P17" s="351" t="s">
        <v>100</v>
      </c>
      <c r="Q17" s="352"/>
      <c r="R17" s="352"/>
      <c r="S17" s="353"/>
      <c r="T17" s="138"/>
      <c r="U17" s="138"/>
      <c r="V17" s="138"/>
      <c r="W17" s="162"/>
      <c r="X17" s="162"/>
      <c r="Y17" s="162"/>
      <c r="Z17" s="162"/>
      <c r="AA17" s="162"/>
      <c r="AB17" s="162"/>
      <c r="AC17" s="162"/>
      <c r="AD17" s="162"/>
      <c r="AE17" s="162"/>
      <c r="AF17" s="137"/>
      <c r="AG17" s="137"/>
      <c r="AH17" s="139"/>
      <c r="AI17" s="140"/>
      <c r="AJ17" s="140"/>
      <c r="AK17" s="140"/>
      <c r="AL17" s="140"/>
      <c r="AM17" s="140"/>
      <c r="AN17" s="154"/>
      <c r="AO17" s="155"/>
      <c r="AP17" s="154"/>
      <c r="AQ17" s="154"/>
      <c r="AR17" s="137"/>
      <c r="AS17" s="137"/>
      <c r="AT17" s="137"/>
      <c r="AU17" s="137"/>
      <c r="AV17" s="137"/>
      <c r="AW17" s="137"/>
      <c r="AX17" s="137"/>
      <c r="AY17" s="137"/>
      <c r="AZ17" s="137"/>
    </row>
    <row r="18" spans="1:68" ht="91.5" customHeight="1" x14ac:dyDescent="0.3">
      <c r="A18" s="156"/>
      <c r="B18" s="156"/>
      <c r="C18" s="137"/>
      <c r="D18" s="137"/>
      <c r="E18" s="137"/>
      <c r="F18" s="137"/>
      <c r="G18" s="137"/>
      <c r="H18" s="137"/>
      <c r="I18" s="137"/>
      <c r="J18" s="137"/>
      <c r="L18" s="138"/>
      <c r="M18" s="138"/>
      <c r="N18" s="198">
        <v>4</v>
      </c>
      <c r="O18" s="199">
        <v>44648</v>
      </c>
      <c r="P18" s="318" t="s">
        <v>101</v>
      </c>
      <c r="Q18" s="319"/>
      <c r="R18" s="319"/>
      <c r="S18" s="320"/>
      <c r="T18" s="138"/>
      <c r="U18" s="138"/>
      <c r="V18" s="138"/>
      <c r="W18" s="343"/>
      <c r="X18" s="343"/>
      <c r="Y18" s="343"/>
      <c r="Z18" s="343"/>
      <c r="AA18" s="343"/>
      <c r="AB18" s="343"/>
      <c r="AC18" s="163"/>
      <c r="AD18" s="163"/>
      <c r="AE18" s="164"/>
      <c r="AF18" s="137"/>
      <c r="AG18" s="137"/>
      <c r="AH18" s="139"/>
      <c r="AI18" s="140"/>
      <c r="AJ18" s="140"/>
      <c r="AK18" s="140"/>
      <c r="AL18" s="140"/>
      <c r="AM18" s="140"/>
      <c r="AN18" s="154">
        <v>0</v>
      </c>
      <c r="AO18" s="155"/>
      <c r="AP18" s="154"/>
      <c r="AQ18" s="154"/>
      <c r="AR18" s="137"/>
      <c r="AS18" s="137"/>
      <c r="AT18" s="137"/>
      <c r="AU18" s="137"/>
      <c r="AV18" s="137"/>
      <c r="AW18" s="137"/>
      <c r="AX18" s="137"/>
      <c r="AY18" s="137"/>
      <c r="AZ18" s="137"/>
    </row>
    <row r="19" spans="1:68" ht="136.5" customHeight="1" x14ac:dyDescent="0.3">
      <c r="A19" s="156"/>
      <c r="B19" s="156"/>
      <c r="C19" s="156"/>
      <c r="D19" s="156"/>
      <c r="E19" s="156"/>
      <c r="F19" s="137"/>
      <c r="G19" s="137"/>
      <c r="H19" s="137"/>
      <c r="I19" s="158"/>
      <c r="J19" s="158"/>
      <c r="K19" s="138"/>
      <c r="L19" s="138"/>
      <c r="M19" s="138"/>
      <c r="N19" s="198">
        <v>5</v>
      </c>
      <c r="O19" s="199">
        <v>44904</v>
      </c>
      <c r="P19" s="318" t="s">
        <v>102</v>
      </c>
      <c r="Q19" s="319"/>
      <c r="R19" s="319"/>
      <c r="S19" s="320"/>
      <c r="T19" s="138"/>
      <c r="U19" s="138"/>
      <c r="V19" s="138"/>
      <c r="W19" s="344"/>
      <c r="X19" s="344"/>
      <c r="Y19" s="344"/>
      <c r="Z19" s="344"/>
      <c r="AA19" s="344"/>
      <c r="AB19" s="344"/>
      <c r="AC19" s="165"/>
      <c r="AD19" s="165"/>
      <c r="AE19" s="166"/>
      <c r="AF19" s="159"/>
      <c r="AG19" s="153"/>
      <c r="AH19" s="139"/>
      <c r="AI19" s="140"/>
      <c r="AJ19" s="140"/>
      <c r="AK19" s="140"/>
      <c r="AL19" s="140"/>
      <c r="AM19" s="140"/>
      <c r="AN19" s="154">
        <v>0</v>
      </c>
      <c r="AO19" s="155"/>
      <c r="AP19" s="154"/>
      <c r="AQ19" s="154"/>
      <c r="AR19" s="137"/>
      <c r="AS19" s="137"/>
      <c r="AT19" s="137"/>
      <c r="AU19" s="137"/>
      <c r="AV19" s="137"/>
      <c r="AW19" s="137"/>
      <c r="AX19" s="137"/>
      <c r="AY19" s="137"/>
      <c r="AZ19" s="137"/>
    </row>
    <row r="20" spans="1:68" ht="75.75" customHeight="1" x14ac:dyDescent="0.3">
      <c r="A20" s="156"/>
      <c r="B20" s="156"/>
      <c r="C20" s="156"/>
      <c r="D20" s="156"/>
      <c r="E20" s="156"/>
      <c r="F20" s="137"/>
      <c r="G20" s="137"/>
      <c r="H20" s="137"/>
      <c r="I20" s="158"/>
      <c r="J20" s="158"/>
      <c r="K20" s="138"/>
      <c r="L20" s="138"/>
      <c r="M20" s="138"/>
      <c r="N20" s="198">
        <v>6</v>
      </c>
      <c r="O20" s="199">
        <v>44986</v>
      </c>
      <c r="P20" s="318" t="s">
        <v>103</v>
      </c>
      <c r="Q20" s="319"/>
      <c r="R20" s="319"/>
      <c r="S20" s="320"/>
      <c r="T20" s="138"/>
      <c r="U20" s="138"/>
      <c r="V20" s="138"/>
      <c r="W20" s="165"/>
      <c r="X20" s="165"/>
      <c r="Y20" s="165"/>
      <c r="Z20" s="165"/>
      <c r="AA20" s="165"/>
      <c r="AB20" s="165"/>
      <c r="AC20" s="165"/>
      <c r="AD20" s="165"/>
      <c r="AE20" s="166"/>
      <c r="AF20" s="159"/>
      <c r="AG20" s="153"/>
      <c r="AH20" s="139"/>
      <c r="AI20" s="140"/>
      <c r="AJ20" s="140"/>
      <c r="AK20" s="140"/>
      <c r="AL20" s="140"/>
      <c r="AM20" s="140"/>
      <c r="AN20" s="154"/>
      <c r="AO20" s="155"/>
      <c r="AP20" s="154"/>
      <c r="AQ20" s="154"/>
      <c r="AR20" s="137"/>
      <c r="AS20" s="137"/>
      <c r="AT20" s="137"/>
      <c r="AU20" s="137"/>
      <c r="AV20" s="137"/>
      <c r="AW20" s="137"/>
      <c r="AX20" s="137"/>
      <c r="AY20" s="137"/>
      <c r="AZ20" s="137"/>
    </row>
    <row r="21" spans="1:68" ht="44.25" customHeight="1" x14ac:dyDescent="0.3">
      <c r="A21" s="156"/>
      <c r="B21" s="156"/>
      <c r="C21" s="156"/>
      <c r="D21" s="156"/>
      <c r="E21" s="156"/>
      <c r="F21" s="137"/>
      <c r="G21" s="137"/>
      <c r="H21" s="137"/>
      <c r="I21" s="158"/>
      <c r="J21" s="158"/>
      <c r="K21" s="138"/>
      <c r="L21" s="138"/>
      <c r="M21" s="138"/>
      <c r="N21" s="198">
        <v>7</v>
      </c>
      <c r="O21" s="219">
        <v>45201</v>
      </c>
      <c r="P21" s="318" t="s">
        <v>341</v>
      </c>
      <c r="Q21" s="319"/>
      <c r="R21" s="319"/>
      <c r="S21" s="320"/>
      <c r="T21" s="138"/>
      <c r="U21" s="138"/>
      <c r="V21" s="138"/>
      <c r="W21" s="165"/>
      <c r="X21" s="165"/>
      <c r="Y21" s="165"/>
      <c r="Z21" s="165"/>
      <c r="AA21" s="165"/>
      <c r="AB21" s="165"/>
      <c r="AC21" s="165"/>
      <c r="AD21" s="165"/>
      <c r="AE21" s="166"/>
      <c r="AF21" s="159"/>
      <c r="AG21" s="153"/>
      <c r="AH21" s="139"/>
      <c r="AI21" s="140"/>
      <c r="AJ21" s="140"/>
      <c r="AK21" s="140"/>
      <c r="AL21" s="140"/>
      <c r="AM21" s="140"/>
      <c r="AN21" s="154"/>
      <c r="AO21" s="155"/>
      <c r="AP21" s="154"/>
      <c r="AQ21" s="154"/>
      <c r="AR21" s="137"/>
      <c r="AS21" s="137"/>
      <c r="AT21" s="137"/>
      <c r="AU21" s="137"/>
      <c r="AV21" s="137"/>
      <c r="AW21" s="137"/>
      <c r="AX21" s="137"/>
      <c r="AY21" s="137"/>
      <c r="AZ21" s="137"/>
    </row>
    <row r="22" spans="1:68" ht="18.75" x14ac:dyDescent="0.3">
      <c r="A22" s="345" t="s">
        <v>104</v>
      </c>
      <c r="B22" s="345"/>
      <c r="C22" s="345"/>
      <c r="D22" s="345"/>
      <c r="E22" s="345"/>
      <c r="F22" s="345"/>
      <c r="G22" s="345"/>
      <c r="H22" s="345"/>
      <c r="I22" s="345"/>
      <c r="J22" s="345"/>
      <c r="K22" s="138"/>
      <c r="L22" s="138"/>
      <c r="M22" s="138"/>
      <c r="N22" s="138"/>
      <c r="O22" s="157"/>
      <c r="P22" s="138"/>
      <c r="Q22" s="138"/>
      <c r="R22" s="138"/>
      <c r="S22" s="138"/>
      <c r="T22" s="138"/>
      <c r="U22" s="138"/>
      <c r="V22" s="138"/>
      <c r="W22" s="153"/>
      <c r="X22" s="153"/>
      <c r="Y22" s="153"/>
      <c r="Z22" s="153"/>
      <c r="AA22" s="153"/>
      <c r="AB22" s="160"/>
      <c r="AC22" s="160"/>
      <c r="AD22" s="160"/>
      <c r="AE22" s="160"/>
      <c r="AF22" s="161"/>
      <c r="AG22" s="161"/>
      <c r="AH22" s="140"/>
      <c r="AI22" s="140"/>
      <c r="AJ22" s="140"/>
      <c r="AK22" s="140"/>
      <c r="AL22" s="140"/>
      <c r="AM22" s="141"/>
      <c r="AN22" s="154"/>
      <c r="AO22" s="154"/>
      <c r="AP22" s="137"/>
      <c r="AQ22" s="137"/>
      <c r="AR22" s="137"/>
      <c r="AS22" s="137"/>
      <c r="AT22" s="137"/>
      <c r="AU22" s="137"/>
      <c r="AV22" s="137"/>
      <c r="AW22" s="137"/>
      <c r="AX22" s="137"/>
      <c r="AY22" s="137"/>
      <c r="AZ22" s="137"/>
    </row>
    <row r="23" spans="1:68" ht="16.5" customHeight="1" x14ac:dyDescent="0.3">
      <c r="A23" s="270"/>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2"/>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ht="24" customHeight="1" x14ac:dyDescent="0.3">
      <c r="A24" s="273"/>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5"/>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x14ac:dyDescent="0.3">
      <c r="A25" s="26"/>
      <c r="B25" s="27"/>
      <c r="C25" s="26"/>
      <c r="D25" s="26"/>
      <c r="E25" s="7"/>
      <c r="F25" s="25"/>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26.25" customHeight="1" x14ac:dyDescent="0.3">
      <c r="A26" s="282" t="s">
        <v>105</v>
      </c>
      <c r="B26" s="283"/>
      <c r="C26" s="261" t="s">
        <v>106</v>
      </c>
      <c r="D26" s="262"/>
      <c r="E26" s="262"/>
      <c r="F26" s="262"/>
      <c r="G26" s="262"/>
      <c r="H26" s="262"/>
      <c r="I26" s="262"/>
      <c r="J26" s="262"/>
      <c r="K26" s="262"/>
      <c r="L26" s="262"/>
      <c r="M26" s="262"/>
      <c r="N26" s="263"/>
      <c r="O26" s="269"/>
      <c r="P26" s="269"/>
      <c r="Q26" s="269"/>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49.5" customHeight="1" x14ac:dyDescent="0.3">
      <c r="A27" s="282" t="s">
        <v>107</v>
      </c>
      <c r="B27" s="283"/>
      <c r="C27" s="264" t="s">
        <v>339</v>
      </c>
      <c r="D27" s="265"/>
      <c r="E27" s="265"/>
      <c r="F27" s="265"/>
      <c r="G27" s="265"/>
      <c r="H27" s="265"/>
      <c r="I27" s="265"/>
      <c r="J27" s="265"/>
      <c r="K27" s="265"/>
      <c r="L27" s="265"/>
      <c r="M27" s="265"/>
      <c r="N27" s="266"/>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49.5" customHeight="1" x14ac:dyDescent="0.3">
      <c r="A28" s="282" t="s">
        <v>108</v>
      </c>
      <c r="B28" s="283"/>
      <c r="C28" s="264" t="s">
        <v>340</v>
      </c>
      <c r="D28" s="265"/>
      <c r="E28" s="265"/>
      <c r="F28" s="265"/>
      <c r="G28" s="265"/>
      <c r="H28" s="265"/>
      <c r="I28" s="265"/>
      <c r="J28" s="265"/>
      <c r="K28" s="265"/>
      <c r="L28" s="265"/>
      <c r="M28" s="265"/>
      <c r="N28" s="266"/>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x14ac:dyDescent="0.3">
      <c r="A29" s="276" t="s">
        <v>109</v>
      </c>
      <c r="B29" s="277"/>
      <c r="C29" s="277"/>
      <c r="D29" s="277"/>
      <c r="E29" s="277"/>
      <c r="F29" s="277"/>
      <c r="G29" s="278"/>
      <c r="H29" s="276" t="s">
        <v>110</v>
      </c>
      <c r="I29" s="277"/>
      <c r="J29" s="277"/>
      <c r="K29" s="277"/>
      <c r="L29" s="277"/>
      <c r="M29" s="277"/>
      <c r="N29" s="278"/>
      <c r="O29" s="276" t="s">
        <v>111</v>
      </c>
      <c r="P29" s="277"/>
      <c r="Q29" s="277"/>
      <c r="R29" s="277"/>
      <c r="S29" s="277"/>
      <c r="T29" s="277"/>
      <c r="U29" s="277"/>
      <c r="V29" s="277"/>
      <c r="W29" s="278"/>
      <c r="X29" s="276" t="s">
        <v>112</v>
      </c>
      <c r="Y29" s="277"/>
      <c r="Z29" s="277"/>
      <c r="AA29" s="277"/>
      <c r="AB29" s="277"/>
      <c r="AC29" s="277"/>
      <c r="AD29" s="278"/>
      <c r="AE29" s="276" t="s">
        <v>113</v>
      </c>
      <c r="AF29" s="277"/>
      <c r="AG29" s="277"/>
      <c r="AH29" s="277"/>
      <c r="AI29" s="277"/>
      <c r="AJ29" s="278"/>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16.5" customHeight="1" x14ac:dyDescent="0.3">
      <c r="A30" s="284" t="s">
        <v>114</v>
      </c>
      <c r="B30" s="287" t="s">
        <v>15</v>
      </c>
      <c r="C30" s="280" t="s">
        <v>17</v>
      </c>
      <c r="D30" s="280" t="s">
        <v>19</v>
      </c>
      <c r="E30" s="286" t="s">
        <v>21</v>
      </c>
      <c r="F30" s="279" t="s">
        <v>23</v>
      </c>
      <c r="G30" s="280" t="s">
        <v>115</v>
      </c>
      <c r="H30" s="337" t="s">
        <v>116</v>
      </c>
      <c r="I30" s="338" t="s">
        <v>117</v>
      </c>
      <c r="J30" s="279" t="s">
        <v>118</v>
      </c>
      <c r="K30" s="279" t="s">
        <v>119</v>
      </c>
      <c r="L30" s="340" t="s">
        <v>120</v>
      </c>
      <c r="M30" s="338" t="s">
        <v>117</v>
      </c>
      <c r="N30" s="280" t="s">
        <v>29</v>
      </c>
      <c r="O30" s="315" t="s">
        <v>121</v>
      </c>
      <c r="P30" s="281" t="s">
        <v>31</v>
      </c>
      <c r="Q30" s="279" t="s">
        <v>33</v>
      </c>
      <c r="R30" s="281" t="s">
        <v>122</v>
      </c>
      <c r="S30" s="281"/>
      <c r="T30" s="281"/>
      <c r="U30" s="281"/>
      <c r="V30" s="281"/>
      <c r="W30" s="281"/>
      <c r="X30" s="317" t="s">
        <v>123</v>
      </c>
      <c r="Y30" s="317" t="s">
        <v>124</v>
      </c>
      <c r="Z30" s="317" t="s">
        <v>117</v>
      </c>
      <c r="AA30" s="317" t="s">
        <v>125</v>
      </c>
      <c r="AB30" s="317" t="s">
        <v>117</v>
      </c>
      <c r="AC30" s="317" t="s">
        <v>126</v>
      </c>
      <c r="AD30" s="315" t="s">
        <v>49</v>
      </c>
      <c r="AE30" s="281" t="s">
        <v>113</v>
      </c>
      <c r="AF30" s="281" t="s">
        <v>127</v>
      </c>
      <c r="AG30" s="281" t="s">
        <v>128</v>
      </c>
      <c r="AH30" s="281" t="s">
        <v>129</v>
      </c>
      <c r="AI30" s="281" t="s">
        <v>130</v>
      </c>
      <c r="AJ30" s="281" t="s">
        <v>53</v>
      </c>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s="3" customFormat="1" ht="30.75" customHeight="1" x14ac:dyDescent="0.25">
      <c r="A31" s="285"/>
      <c r="B31" s="287"/>
      <c r="C31" s="281"/>
      <c r="D31" s="281"/>
      <c r="E31" s="287"/>
      <c r="F31" s="280"/>
      <c r="G31" s="281"/>
      <c r="H31" s="280"/>
      <c r="I31" s="339"/>
      <c r="J31" s="280"/>
      <c r="K31" s="280"/>
      <c r="L31" s="339"/>
      <c r="M31" s="339"/>
      <c r="N31" s="281"/>
      <c r="O31" s="316"/>
      <c r="P31" s="281"/>
      <c r="Q31" s="280"/>
      <c r="R31" s="6" t="s">
        <v>131</v>
      </c>
      <c r="S31" s="6" t="s">
        <v>132</v>
      </c>
      <c r="T31" s="6" t="s">
        <v>133</v>
      </c>
      <c r="U31" s="6" t="s">
        <v>134</v>
      </c>
      <c r="V31" s="6" t="s">
        <v>135</v>
      </c>
      <c r="W31" s="6" t="s">
        <v>136</v>
      </c>
      <c r="X31" s="317"/>
      <c r="Y31" s="317"/>
      <c r="Z31" s="317"/>
      <c r="AA31" s="317"/>
      <c r="AB31" s="317"/>
      <c r="AC31" s="317"/>
      <c r="AD31" s="316"/>
      <c r="AE31" s="281"/>
      <c r="AF31" s="281"/>
      <c r="AG31" s="281"/>
      <c r="AH31" s="281"/>
      <c r="AI31" s="281"/>
      <c r="AJ31" s="281"/>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row>
    <row r="32" spans="1:68" s="200" customFormat="1" ht="114" customHeight="1" x14ac:dyDescent="0.25">
      <c r="A32" s="297">
        <v>1</v>
      </c>
      <c r="B32" s="321" t="s">
        <v>137</v>
      </c>
      <c r="C32" s="213" t="s">
        <v>138</v>
      </c>
      <c r="D32" s="327" t="s">
        <v>139</v>
      </c>
      <c r="E32" s="329" t="s">
        <v>140</v>
      </c>
      <c r="F32" s="321" t="s">
        <v>141</v>
      </c>
      <c r="G32" s="323">
        <v>0.25</v>
      </c>
      <c r="H32" s="325" t="str">
        <f>IF(G32&lt;=0,"",IF(G32&lt;=2,"Muy Baja",IF(G32&lt;=24,"Baja",IF(G32&lt;=500,"Media",IF(G32&lt;=5000,"Alta","Muy Alta")))))</f>
        <v>Muy Baja</v>
      </c>
      <c r="I32" s="333">
        <f>IF(H32="","",IF(H32="Muy Baja",0.2,IF(H32="Baja",0.4,IF(H32="Media",0.6,IF(H32="Alta",0.8,IF(H32="Muy Alta",1,))))))</f>
        <v>0.2</v>
      </c>
      <c r="J32" s="335" t="s">
        <v>142</v>
      </c>
      <c r="K32" s="333" t="str">
        <f>IF(NOT(ISERROR(MATCH(J32,'Tabla Impacto'!$B$221:$B$223,0))),'Tabla Impacto'!$F$228&amp;"Por favor no seleccionar los criterios de impacto(Afectación Económica o presupuestal y Pérdida Reputacional)",J32)</f>
        <v xml:space="preserve">     El riesgo afecta la imagen de la entidad internamente, de conocimiento general, nivel interno, de junta dircetiva y accionistas y/o de provedores</v>
      </c>
      <c r="L32" s="325" t="str">
        <f>IF(OR(K32='Tabla Impacto'!$C$11,K32='Tabla Impacto'!$D$11),"Leve",IF(OR(K32='Tabla Impacto'!$C$12,K32='Tabla Impacto'!$D$12),"Menor",IF(OR(K32='Tabla Impacto'!$C$13,K32='Tabla Impacto'!$D$13),"Moderado",IF(OR(K32='Tabla Impacto'!$C$14,K32='Tabla Impacto'!$D$14),"Mayor",IF(OR(K32='Tabla Impacto'!$C$15,K32='Tabla Impacto'!$D$15),"Catastrófico","")))))</f>
        <v>Menor</v>
      </c>
      <c r="M32" s="333">
        <f>IF(L32="","",IF(L32="Leve",0.2,IF(L32="Menor",0.4,IF(L32="Moderado",0.6,IF(L32="Mayor",0.8,IF(L32="Catastrófico",1,))))))</f>
        <v>0.4</v>
      </c>
      <c r="N32" s="331"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Bajo</v>
      </c>
      <c r="O32" s="5">
        <v>1</v>
      </c>
      <c r="P32" s="209" t="s">
        <v>143</v>
      </c>
      <c r="Q32" s="202" t="str">
        <f t="shared" ref="Q32:Q40" si="0">IF(OR(R32="Preventivo",R32="Detectivo"),"Probabilidad",IF(R32="Correctivo","Impacto",""))</f>
        <v>Probabilidad</v>
      </c>
      <c r="R32" s="203" t="s">
        <v>144</v>
      </c>
      <c r="S32" s="203" t="s">
        <v>145</v>
      </c>
      <c r="T32" s="204" t="str">
        <f>IF(AND(R32="Preventivo",S32="Automático"),"50%",IF(AND(R32="Preventivo",S32="Manual"),"40%",IF(AND(R32="Detectivo",S32="Automático"),"40%",IF(AND(R32="Detectivo",S32="Manual"),"30%",IF(AND(R32="Correctivo",S32="Automático"),"35%",IF(AND(R32="Correctivo",S32="Manual"),"25%",""))))))</f>
        <v>40%</v>
      </c>
      <c r="U32" s="203" t="s">
        <v>146</v>
      </c>
      <c r="V32" s="203" t="s">
        <v>147</v>
      </c>
      <c r="W32" s="203" t="s">
        <v>148</v>
      </c>
      <c r="X32" s="205">
        <f>IFERROR(IF(Q32="Probabilidad",(I32-(+I32*T32)),IF(Q32="Impacto",I32,"")),"")</f>
        <v>0.12</v>
      </c>
      <c r="Y32" s="206" t="str">
        <f>IFERROR(IF(X32="","",IF(X32&lt;=0.2,"Muy Baja",IF(X32&lt;=0.4,"Baja",IF(X32&lt;=0.6,"Media",IF(X32&lt;=0.8,"Alta","Muy Alta"))))),"")</f>
        <v>Muy Baja</v>
      </c>
      <c r="Z32" s="208">
        <f>+X32</f>
        <v>0.12</v>
      </c>
      <c r="AA32" s="206" t="str">
        <f>IFERROR(IF(AB32="","",IF(AB32&lt;=0.2,"Leve",IF(AB32&lt;=0.4,"Menor",IF(AB32&lt;=0.6,"Moderado",IF(AB32&lt;=0.8,"Mayor","Catastrófico"))))),"")</f>
        <v>Menor</v>
      </c>
      <c r="AB32" s="208">
        <f>IFERROR(IF(Q32="Impacto",(M32-(+M32*T32)),IF(Q32="Probabilidad",M32,"")),"")</f>
        <v>0.4</v>
      </c>
      <c r="AC32" s="207"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Bajo</v>
      </c>
      <c r="AD32" s="267" t="s">
        <v>149</v>
      </c>
      <c r="AE32" s="321"/>
      <c r="AF32" s="321"/>
      <c r="AG32" s="321"/>
      <c r="AH32" s="321"/>
      <c r="AI32" s="321"/>
      <c r="AJ32" s="32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row>
    <row r="33" spans="1:68" s="200" customFormat="1" ht="113.25" customHeight="1" x14ac:dyDescent="0.25">
      <c r="A33" s="298"/>
      <c r="B33" s="322"/>
      <c r="C33" s="213" t="s">
        <v>150</v>
      </c>
      <c r="D33" s="328"/>
      <c r="E33" s="330"/>
      <c r="F33" s="322"/>
      <c r="G33" s="324"/>
      <c r="H33" s="326"/>
      <c r="I33" s="334"/>
      <c r="J33" s="336"/>
      <c r="K33" s="334">
        <f>IF(NOT(ISERROR(MATCH(J33,_xlfn.ANCHORARRAY(E35),0))),#REF!&amp;"Por favor no seleccionar los criterios de impacto",J33)</f>
        <v>0</v>
      </c>
      <c r="L33" s="326"/>
      <c r="M33" s="334"/>
      <c r="N33" s="332"/>
      <c r="O33" s="5">
        <v>2</v>
      </c>
      <c r="P33" s="209" t="s">
        <v>151</v>
      </c>
      <c r="Q33" s="202" t="str">
        <f t="shared" si="0"/>
        <v>Probabilidad</v>
      </c>
      <c r="R33" s="203" t="s">
        <v>144</v>
      </c>
      <c r="S33" s="203" t="s">
        <v>145</v>
      </c>
      <c r="T33" s="204" t="str">
        <f t="shared" ref="T33" si="1">IF(AND(R33="Preventivo",S33="Automático"),"50%",IF(AND(R33="Preventivo",S33="Manual"),"40%",IF(AND(R33="Detectivo",S33="Automático"),"40%",IF(AND(R33="Detectivo",S33="Manual"),"30%",IF(AND(R33="Correctivo",S33="Automático"),"35%",IF(AND(R33="Correctivo",S33="Manual"),"25%",""))))))</f>
        <v>40%</v>
      </c>
      <c r="U33" s="203" t="s">
        <v>146</v>
      </c>
      <c r="V33" s="203" t="s">
        <v>147</v>
      </c>
      <c r="W33" s="203" t="s">
        <v>148</v>
      </c>
      <c r="X33" s="205">
        <f>IFERROR(IF(AND(Q32="Probabilidad",Q33="Probabilidad"),(Z32-(+Z32*T33)),IF(Q33="Probabilidad",(I32-(+I32*T33)),IF(Q33="Impacto",Z32,""))),"")</f>
        <v>7.1999999999999995E-2</v>
      </c>
      <c r="Y33" s="206" t="str">
        <f t="shared" ref="Y33:Y54" si="2">IFERROR(IF(X33="","",IF(X33&lt;=0.2,"Muy Baja",IF(X33&lt;=0.4,"Baja",IF(X33&lt;=0.6,"Media",IF(X33&lt;=0.8,"Alta","Muy Alta"))))),"")</f>
        <v>Muy Baja</v>
      </c>
      <c r="Z33" s="208">
        <f t="shared" ref="Z33" si="3">+X33</f>
        <v>7.1999999999999995E-2</v>
      </c>
      <c r="AA33" s="206" t="str">
        <f t="shared" ref="AA33:AA54" si="4">IFERROR(IF(AB33="","",IF(AB33&lt;=0.2,"Leve",IF(AB33&lt;=0.4,"Menor",IF(AB33&lt;=0.6,"Moderado",IF(AB33&lt;=0.8,"Mayor","Catastrófico"))))),"")</f>
        <v>Menor</v>
      </c>
      <c r="AB33" s="208">
        <f>IFERROR(IF(AND(Q32="Impacto",Q33="Impacto"),(AB32-(+AB32*T33)),IF(Q33="Impacto",(M32-(+M32*T33)),IF(Q33="Probabilidad",AB32,""))),"")</f>
        <v>0.4</v>
      </c>
      <c r="AC33" s="207" t="str">
        <f t="shared" ref="AC33" si="5">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Bajo</v>
      </c>
      <c r="AD33" s="268"/>
      <c r="AE33" s="341"/>
      <c r="AF33" s="341"/>
      <c r="AG33" s="341"/>
      <c r="AH33" s="341"/>
      <c r="AI33" s="341"/>
      <c r="AJ33" s="34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row>
    <row r="34" spans="1:68" s="200" customFormat="1" ht="141" customHeight="1" x14ac:dyDescent="0.25">
      <c r="A34" s="188">
        <v>2</v>
      </c>
      <c r="B34" s="192" t="s">
        <v>137</v>
      </c>
      <c r="C34" s="213" t="s">
        <v>152</v>
      </c>
      <c r="D34" s="193" t="s">
        <v>153</v>
      </c>
      <c r="E34" s="194" t="s">
        <v>154</v>
      </c>
      <c r="F34" s="192" t="s">
        <v>141</v>
      </c>
      <c r="G34" s="196">
        <v>54</v>
      </c>
      <c r="H34" s="191" t="str">
        <f>IF(G34&lt;=0,"",IF(G34&lt;=2,"Muy Baja",IF(G34&lt;=24,"Baja",IF(G34&lt;=500,"Media",IF(G34&lt;=5000,"Alta","Muy Alta")))))</f>
        <v>Media</v>
      </c>
      <c r="I34" s="190">
        <f>IF(H34="","",IF(H34="Muy Baja",0.2,IF(H34="Baja",0.4,IF(H34="Media",0.6,IF(H34="Alta",0.8,IF(H34="Muy Alta",1,))))))</f>
        <v>0.6</v>
      </c>
      <c r="J34" s="189" t="s">
        <v>155</v>
      </c>
      <c r="K34" s="190" t="str">
        <f>IF(NOT(ISERROR(MATCH(J34,'Tabla Impacto'!$B$221:$B$223,0))),'Tabla Impacto'!$F$228&amp;"Por favor no seleccionar los criterios de impacto(Afectación Económica o presupuestal y Pérdida Reputacional)",J34)</f>
        <v xml:space="preserve">     El riesgo afecta la imagen de alguna área de la organización</v>
      </c>
      <c r="L34" s="191" t="str">
        <f>IF(OR(K34='Tabla Impacto'!$C$11,K34='Tabla Impacto'!$D$11),"Leve",IF(OR(K34='Tabla Impacto'!$C$12,K34='Tabla Impacto'!$D$12),"Menor",IF(OR(K34='Tabla Impacto'!$C$13,K34='Tabla Impacto'!$D$13),"Moderado",IF(OR(K34='Tabla Impacto'!$C$14,K34='Tabla Impacto'!$D$14),"Mayor",IF(OR(K34='Tabla Impacto'!$C$15,K34='Tabla Impacto'!$D$15),"Catastrófico","")))))</f>
        <v>Leve</v>
      </c>
      <c r="M34" s="190">
        <f>IF(L34="","",IF(L34="Leve",0.2,IF(L34="Menor",0.4,IF(L34="Moderado",0.6,IF(L34="Mayor",0.8,IF(L34="Catastrófico",1,))))))</f>
        <v>0.2</v>
      </c>
      <c r="N34" s="19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5">
        <v>1</v>
      </c>
      <c r="P34" s="209" t="s">
        <v>156</v>
      </c>
      <c r="Q34" s="202" t="str">
        <f t="shared" si="0"/>
        <v>Probabilidad</v>
      </c>
      <c r="R34" s="203" t="s">
        <v>144</v>
      </c>
      <c r="S34" s="203" t="s">
        <v>145</v>
      </c>
      <c r="T34" s="204" t="str">
        <f>IF(AND(R34="Preventivo",S34="Automático"),"50%",IF(AND(R34="Preventivo",S34="Manual"),"40%",IF(AND(R34="Detectivo",S34="Automático"),"40%",IF(AND(R34="Detectivo",S34="Manual"),"30%",IF(AND(R34="Correctivo",S34="Automático"),"35%",IF(AND(R34="Correctivo",S34="Manual"),"25%",""))))))</f>
        <v>40%</v>
      </c>
      <c r="U34" s="203" t="s">
        <v>146</v>
      </c>
      <c r="V34" s="203" t="s">
        <v>147</v>
      </c>
      <c r="W34" s="203" t="s">
        <v>148</v>
      </c>
      <c r="X34" s="205">
        <f>IFERROR(IF(Q34="Probabilidad",(I34-(+I34*T34)),IF(Q34="Impacto",I34,"")),"")</f>
        <v>0.36</v>
      </c>
      <c r="Y34" s="206" t="str">
        <f>IFERROR(IF(X34="","",IF(X34&lt;=0.2,"Muy Baja",IF(X34&lt;=0.4,"Baja",IF(X34&lt;=0.6,"Media",IF(X34&lt;=0.8,"Alta","Muy Alta"))))),"")</f>
        <v>Baja</v>
      </c>
      <c r="Z34" s="208">
        <f>+X34</f>
        <v>0.36</v>
      </c>
      <c r="AA34" s="206" t="str">
        <f>IFERROR(IF(AB34="","",IF(AB34&lt;=0.2,"Leve",IF(AB34&lt;=0.4,"Menor",IF(AB34&lt;=0.6,"Moderado",IF(AB34&lt;=0.8,"Mayor","Catastrófico"))))),"")</f>
        <v>Leve</v>
      </c>
      <c r="AB34" s="208">
        <f>IFERROR(IF(Q34="Impacto",(M34-(+M34*T34)),IF(Q34="Probabilidad",M34,"")),"")</f>
        <v>0.2</v>
      </c>
      <c r="AC34" s="207"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Bajo</v>
      </c>
      <c r="AD34" s="197" t="s">
        <v>149</v>
      </c>
      <c r="AE34" s="210"/>
      <c r="AF34" s="211"/>
      <c r="AG34" s="212"/>
      <c r="AH34" s="212"/>
      <c r="AI34" s="210"/>
      <c r="AJ34" s="21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row>
    <row r="35" spans="1:68" s="200" customFormat="1" ht="227.25" customHeight="1" x14ac:dyDescent="0.25">
      <c r="A35" s="188">
        <v>3</v>
      </c>
      <c r="B35" s="192" t="s">
        <v>137</v>
      </c>
      <c r="C35" s="193" t="s">
        <v>157</v>
      </c>
      <c r="D35" s="193" t="s">
        <v>158</v>
      </c>
      <c r="E35" s="194" t="s">
        <v>159</v>
      </c>
      <c r="F35" s="192" t="s">
        <v>141</v>
      </c>
      <c r="G35" s="196">
        <v>84</v>
      </c>
      <c r="H35" s="191" t="str">
        <f>IF(G35&lt;=0,"",IF(G35&lt;=2,"Muy Baja",IF(G35&lt;=24,"Baja",IF(G35&lt;=500,"Media",IF(G35&lt;=5000,"Alta","Muy Alta")))))</f>
        <v>Media</v>
      </c>
      <c r="I35" s="190">
        <f>IF(H35="","",IF(H35="Muy Baja",0.2,IF(H35="Baja",0.4,IF(H35="Media",0.6,IF(H35="Alta",0.8,IF(H35="Muy Alta",1,))))))</f>
        <v>0.6</v>
      </c>
      <c r="J35" s="189" t="s">
        <v>160</v>
      </c>
      <c r="K35" s="190" t="str">
        <f>IF(NOT(ISERROR(MATCH(J35,'Tabla Impacto'!$B$221:$B$223,0))),'Tabla Impacto'!$F$228&amp;"Por favor no seleccionar los criterios de impacto(Afectación Económica o presupuestal y Pérdida Reputacional)",J35)</f>
        <v xml:space="preserve">     El riesgo afecta la imagen de la entidad con algunos usuarios de relevancia frente al logro de los objetivos</v>
      </c>
      <c r="L35" s="191" t="str">
        <f>IF(OR(K35='Tabla Impacto'!$C$11,K35='Tabla Impacto'!$D$11),"Leve",IF(OR(K35='Tabla Impacto'!$C$12,K35='Tabla Impacto'!$D$12),"Menor",IF(OR(K35='Tabla Impacto'!$C$13,K35='Tabla Impacto'!$D$13),"Moderado",IF(OR(K35='Tabla Impacto'!$C$14,K35='Tabla Impacto'!$D$14),"Mayor",IF(OR(K35='Tabla Impacto'!$C$15,K35='Tabla Impacto'!$D$15),"Catastrófico","")))))</f>
        <v>Moderado</v>
      </c>
      <c r="M35" s="190">
        <f>IF(L35="","",IF(L35="Leve",0.2,IF(L35="Menor",0.4,IF(L35="Moderado",0.6,IF(L35="Mayor",0.8,IF(L35="Catastrófico",1,))))))</f>
        <v>0.6</v>
      </c>
      <c r="N35" s="195" t="str">
        <f>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Moderado</v>
      </c>
      <c r="O35" s="5">
        <v>1</v>
      </c>
      <c r="P35" s="209" t="s">
        <v>161</v>
      </c>
      <c r="Q35" s="202" t="str">
        <f t="shared" si="0"/>
        <v>Probabilidad</v>
      </c>
      <c r="R35" s="203" t="s">
        <v>144</v>
      </c>
      <c r="S35" s="203" t="s">
        <v>162</v>
      </c>
      <c r="T35" s="204" t="str">
        <f>IF(AND(R35="Preventivo",S35="Automático"),"50%",IF(AND(R35="Preventivo",S35="Manual"),"40%",IF(AND(R35="Detectivo",S35="Automático"),"40%",IF(AND(R35="Detectivo",S35="Manual"),"30%",IF(AND(R35="Correctivo",S35="Automático"),"35%",IF(AND(R35="Correctivo",S35="Manual"),"25%",""))))))</f>
        <v>50%</v>
      </c>
      <c r="U35" s="203" t="s">
        <v>146</v>
      </c>
      <c r="V35" s="203" t="s">
        <v>147</v>
      </c>
      <c r="W35" s="203" t="s">
        <v>148</v>
      </c>
      <c r="X35" s="205">
        <f>IFERROR(IF(Q35="Probabilidad",(I35-(+I35*T35)),IF(Q35="Impacto",I35,"")),"")</f>
        <v>0.3</v>
      </c>
      <c r="Y35" s="206" t="str">
        <f>IFERROR(IF(X35="","",IF(X35&lt;=0.2,"Muy Baja",IF(X35&lt;=0.4,"Baja",IF(X35&lt;=0.6,"Media",IF(X35&lt;=0.8,"Alta","Muy Alta"))))),"")</f>
        <v>Baja</v>
      </c>
      <c r="Z35" s="208">
        <f>+X35</f>
        <v>0.3</v>
      </c>
      <c r="AA35" s="206" t="str">
        <f>IFERROR(IF(AB35="","",IF(AB35&lt;=0.2,"Leve",IF(AB35&lt;=0.4,"Menor",IF(AB35&lt;=0.6,"Moderado",IF(AB35&lt;=0.8,"Mayor","Catastrófico"))))),"")</f>
        <v>Moderado</v>
      </c>
      <c r="AB35" s="208">
        <f>IFERROR(IF(Q35="Impacto",(M35-(+M35*T35)),IF(Q35="Probabilidad",M35,"")),"")</f>
        <v>0.6</v>
      </c>
      <c r="AC35" s="207"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Moderado</v>
      </c>
      <c r="AD35" s="197" t="s">
        <v>149</v>
      </c>
      <c r="AE35" s="210"/>
      <c r="AF35" s="211"/>
      <c r="AG35" s="212"/>
      <c r="AH35" s="212"/>
      <c r="AI35" s="210"/>
      <c r="AJ35" s="21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row>
    <row r="36" spans="1:68" s="200" customFormat="1" ht="112.5" customHeight="1" x14ac:dyDescent="0.25">
      <c r="A36" s="188">
        <v>4</v>
      </c>
      <c r="B36" s="192" t="s">
        <v>137</v>
      </c>
      <c r="C36" s="193" t="s">
        <v>163</v>
      </c>
      <c r="D36" s="193" t="s">
        <v>163</v>
      </c>
      <c r="E36" s="194" t="s">
        <v>164</v>
      </c>
      <c r="F36" s="192" t="s">
        <v>141</v>
      </c>
      <c r="G36" s="196">
        <v>2</v>
      </c>
      <c r="H36" s="191" t="str">
        <f>IF(G36&lt;=0,"",IF(G36&lt;=2,"Muy Baja",IF(G36&lt;=24,"Baja",IF(G36&lt;=500,"Media",IF(G36&lt;=5000,"Alta","Muy Alta")))))</f>
        <v>Muy Baja</v>
      </c>
      <c r="I36" s="190">
        <f>IF(H36="","",IF(H36="Muy Baja",0.2,IF(H36="Baja",0.4,IF(H36="Media",0.6,IF(H36="Alta",0.8,IF(H36="Muy Alta",1,))))))</f>
        <v>0.2</v>
      </c>
      <c r="J36" s="189" t="s">
        <v>160</v>
      </c>
      <c r="K36" s="190" t="str">
        <f>IF(NOT(ISERROR(MATCH(J36,'Tabla Impacto'!$B$221:$B$223,0))),'Tabla Impacto'!$F$228&amp;"Por favor no seleccionar los criterios de impacto(Afectación Económica o presupuestal y Pérdida Reputacional)",J36)</f>
        <v xml:space="preserve">     El riesgo afecta la imagen de la entidad con algunos usuarios de relevancia frente al logro de los objetivos</v>
      </c>
      <c r="L36" s="191" t="str">
        <f>IF(OR(K36='Tabla Impacto'!$C$11,K36='Tabla Impacto'!$D$11),"Leve",IF(OR(K36='Tabla Impacto'!$C$12,K36='Tabla Impacto'!$D$12),"Menor",IF(OR(K36='Tabla Impacto'!$C$13,K36='Tabla Impacto'!$D$13),"Moderado",IF(OR(K36='Tabla Impacto'!$C$14,K36='Tabla Impacto'!$D$14),"Mayor",IF(OR(K36='Tabla Impacto'!$C$15,K36='Tabla Impacto'!$D$15),"Catastrófico","")))))</f>
        <v>Moderado</v>
      </c>
      <c r="M36" s="190">
        <f>IF(L36="","",IF(L36="Leve",0.2,IF(L36="Menor",0.4,IF(L36="Moderado",0.6,IF(L36="Mayor",0.8,IF(L36="Catastrófico",1,))))))</f>
        <v>0.6</v>
      </c>
      <c r="N36" s="195"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5">
        <v>1</v>
      </c>
      <c r="P36" s="209" t="s">
        <v>165</v>
      </c>
      <c r="Q36" s="202" t="str">
        <f t="shared" si="0"/>
        <v>Probabilidad</v>
      </c>
      <c r="R36" s="203" t="s">
        <v>166</v>
      </c>
      <c r="S36" s="203" t="s">
        <v>145</v>
      </c>
      <c r="T36" s="204" t="str">
        <f>IF(AND(R36="Preventivo",S36="Automático"),"50%",IF(AND(R36="Preventivo",S36="Manual"),"40%",IF(AND(R36="Detectivo",S36="Automático"),"40%",IF(AND(R36="Detectivo",S36="Manual"),"30%",IF(AND(R36="Correctivo",S36="Automático"),"35%",IF(AND(R36="Correctivo",S36="Manual"),"25%",""))))))</f>
        <v>30%</v>
      </c>
      <c r="U36" s="203" t="s">
        <v>146</v>
      </c>
      <c r="V36" s="203" t="s">
        <v>147</v>
      </c>
      <c r="W36" s="203" t="s">
        <v>148</v>
      </c>
      <c r="X36" s="205">
        <f>IFERROR(IF(Q36="Probabilidad",(I36-(+I36*T36)),IF(Q36="Impacto",I36,"")),"")</f>
        <v>0.14000000000000001</v>
      </c>
      <c r="Y36" s="206" t="str">
        <f>IFERROR(IF(X36="","",IF(X36&lt;=0.2,"Muy Baja",IF(X36&lt;=0.4,"Baja",IF(X36&lt;=0.6,"Media",IF(X36&lt;=0.8,"Alta","Muy Alta"))))),"")</f>
        <v>Muy Baja</v>
      </c>
      <c r="Z36" s="208">
        <f>+X36</f>
        <v>0.14000000000000001</v>
      </c>
      <c r="AA36" s="206" t="str">
        <f>IFERROR(IF(AB36="","",IF(AB36&lt;=0.2,"Leve",IF(AB36&lt;=0.4,"Menor",IF(AB36&lt;=0.6,"Moderado",IF(AB36&lt;=0.8,"Mayor","Catastrófico"))))),"")</f>
        <v>Moderado</v>
      </c>
      <c r="AB36" s="208">
        <f>IFERROR(IF(Q36="Impacto",(M36-(+M36*T36)),IF(Q36="Probabilidad",M36,"")),"")</f>
        <v>0.6</v>
      </c>
      <c r="AC36" s="207"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197" t="s">
        <v>149</v>
      </c>
      <c r="AE36" s="210"/>
      <c r="AF36" s="211"/>
      <c r="AG36" s="212"/>
      <c r="AH36" s="212"/>
      <c r="AI36" s="210"/>
      <c r="AJ36" s="21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row>
    <row r="37" spans="1:68" s="200" customFormat="1" ht="153.75" customHeight="1" x14ac:dyDescent="0.25">
      <c r="A37" s="188">
        <v>5</v>
      </c>
      <c r="B37" s="192" t="s">
        <v>137</v>
      </c>
      <c r="C37" s="193" t="s">
        <v>167</v>
      </c>
      <c r="D37" s="193" t="s">
        <v>168</v>
      </c>
      <c r="E37" s="194" t="s">
        <v>169</v>
      </c>
      <c r="F37" s="192" t="s">
        <v>141</v>
      </c>
      <c r="G37" s="196">
        <v>72</v>
      </c>
      <c r="H37" s="191" t="str">
        <f>IF(G37&lt;=0,"",IF(G37&lt;=2,"Muy Baja",IF(G37&lt;=24,"Baja",IF(G37&lt;=500,"Media",IF(G37&lt;=5000,"Alta","Muy Alta")))))</f>
        <v>Media</v>
      </c>
      <c r="I37" s="190">
        <f>IF(H37="","",IF(H37="Muy Baja",0.2,IF(H37="Baja",0.4,IF(H37="Media",0.6,IF(H37="Alta",0.8,IF(H37="Muy Alta",1,))))))</f>
        <v>0.6</v>
      </c>
      <c r="J37" s="189" t="s">
        <v>142</v>
      </c>
      <c r="K37" s="190" t="str">
        <f>IF(NOT(ISERROR(MATCH(J37,'Tabla Impacto'!$B$221:$B$223,0))),'Tabla Impacto'!$F$228&amp;"Por favor no seleccionar los criterios de impacto(Afectación Económica o presupuestal y Pérdida Reputacional)",J37)</f>
        <v xml:space="preserve">     El riesgo afecta la imagen de la entidad internamente, de conocimiento general, nivel interno, de junta dircetiva y accionistas y/o de provedores</v>
      </c>
      <c r="L37" s="191" t="str">
        <f>IF(OR(K37='Tabla Impacto'!$C$11,K37='Tabla Impacto'!$D$11),"Leve",IF(OR(K37='Tabla Impacto'!$C$12,K37='Tabla Impacto'!$D$12),"Menor",IF(OR(K37='Tabla Impacto'!$C$13,K37='Tabla Impacto'!$D$13),"Moderado",IF(OR(K37='Tabla Impacto'!$C$14,K37='Tabla Impacto'!$D$14),"Mayor",IF(OR(K37='Tabla Impacto'!$C$15,K37='Tabla Impacto'!$D$15),"Catastrófico","")))))</f>
        <v>Menor</v>
      </c>
      <c r="M37" s="190">
        <f>IF(L37="","",IF(L37="Leve",0.2,IF(L37="Menor",0.4,IF(L37="Moderado",0.6,IF(L37="Mayor",0.8,IF(L37="Catastrófico",1,))))))</f>
        <v>0.4</v>
      </c>
      <c r="N37" s="195"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5">
        <v>1</v>
      </c>
      <c r="P37" s="209" t="s">
        <v>170</v>
      </c>
      <c r="Q37" s="202" t="str">
        <f t="shared" si="0"/>
        <v>Probabilidad</v>
      </c>
      <c r="R37" s="203" t="s">
        <v>166</v>
      </c>
      <c r="S37" s="203" t="s">
        <v>145</v>
      </c>
      <c r="T37" s="204" t="str">
        <f>IF(AND(R37="Preventivo",S37="Automático"),"50%",IF(AND(R37="Preventivo",S37="Manual"),"40%",IF(AND(R37="Detectivo",S37="Automático"),"40%",IF(AND(R37="Detectivo",S37="Manual"),"30%",IF(AND(R37="Correctivo",S37="Automático"),"35%",IF(AND(R37="Correctivo",S37="Manual"),"25%",""))))))</f>
        <v>30%</v>
      </c>
      <c r="U37" s="203" t="s">
        <v>146</v>
      </c>
      <c r="V37" s="203" t="s">
        <v>147</v>
      </c>
      <c r="W37" s="203" t="s">
        <v>148</v>
      </c>
      <c r="X37" s="205">
        <f>IFERROR(IF(Q37="Probabilidad",(I37-(+I37*T37)),IF(Q37="Impacto",I37,"")),"")</f>
        <v>0.42</v>
      </c>
      <c r="Y37" s="206" t="str">
        <f>IFERROR(IF(X37="","",IF(X37&lt;=0.2,"Muy Baja",IF(X37&lt;=0.4,"Baja",IF(X37&lt;=0.6,"Media",IF(X37&lt;=0.8,"Alta","Muy Alta"))))),"")</f>
        <v>Media</v>
      </c>
      <c r="Z37" s="208">
        <f>+X37</f>
        <v>0.42</v>
      </c>
      <c r="AA37" s="206" t="str">
        <f>IFERROR(IF(AB37="","",IF(AB37&lt;=0.2,"Leve",IF(AB37&lt;=0.4,"Menor",IF(AB37&lt;=0.6,"Moderado",IF(AB37&lt;=0.8,"Mayor","Catastrófico"))))),"")</f>
        <v>Menor</v>
      </c>
      <c r="AB37" s="208">
        <f>IFERROR(IF(Q37="Impacto",(M37-(+M37*T37)),IF(Q37="Probabilidad",M37,"")),"")</f>
        <v>0.4</v>
      </c>
      <c r="AC37" s="207"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197" t="s">
        <v>149</v>
      </c>
      <c r="AE37" s="210"/>
      <c r="AF37" s="211"/>
      <c r="AG37" s="212"/>
      <c r="AH37" s="212"/>
      <c r="AI37" s="210"/>
      <c r="AJ37" s="21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row>
    <row r="38" spans="1:68" ht="18" hidden="1" customHeight="1" x14ac:dyDescent="0.3">
      <c r="A38" s="297">
        <v>8</v>
      </c>
      <c r="B38" s="299"/>
      <c r="C38" s="299"/>
      <c r="D38" s="299"/>
      <c r="E38" s="301"/>
      <c r="F38" s="299"/>
      <c r="G38" s="303"/>
      <c r="H38" s="305" t="str">
        <f>IF(G38&lt;=0,"",IF(G38&lt;=2,"Muy Baja",IF(G38&lt;=24,"Baja",IF(G38&lt;=500,"Media",IF(G38&lt;=5000,"Alta","Muy Alta")))))</f>
        <v/>
      </c>
      <c r="I38" s="291" t="str">
        <f>IF(H38="","",IF(H38="Muy Baja",0.2,IF(H38="Baja",0.4,IF(H38="Media",0.6,IF(H38="Alta",0.8,IF(H38="Muy Alta",1,))))))</f>
        <v/>
      </c>
      <c r="J38" s="307"/>
      <c r="K38" s="291">
        <f>IF(NOT(ISERROR(MATCH(J38,'Tabla Impacto'!$B$221:$B$223,0))),'Tabla Impacto'!$F$228&amp;"Por favor no seleccionar los criterios de impacto(Afectación Económica o presupuestal y Pérdida Reputacional)",J38)</f>
        <v>0</v>
      </c>
      <c r="L38" s="305" t="str">
        <f>IF(OR(K38='Tabla Impacto'!$C$11,K38='Tabla Impacto'!$D$11),"Leve",IF(OR(K38='Tabla Impacto'!$C$12,K38='Tabla Impacto'!$D$12),"Menor",IF(OR(K38='Tabla Impacto'!$C$13,K38='Tabla Impacto'!$D$13),"Moderado",IF(OR(K38='Tabla Impacto'!$C$14,K38='Tabla Impacto'!$D$14),"Mayor",IF(OR(K38='Tabla Impacto'!$C$15,K38='Tabla Impacto'!$D$15),"Catastrófico","")))))</f>
        <v/>
      </c>
      <c r="M38" s="291" t="str">
        <f>IF(L38="","",IF(L38="Leve",0.2,IF(L38="Menor",0.4,IF(L38="Moderado",0.6,IF(L38="Mayor",0.8,IF(L38="Catastrófico",1,))))))</f>
        <v/>
      </c>
      <c r="N38" s="294"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21">
        <v>1</v>
      </c>
      <c r="P38" s="122"/>
      <c r="Q38" s="123" t="str">
        <f t="shared" si="0"/>
        <v/>
      </c>
      <c r="R38" s="124"/>
      <c r="S38" s="124"/>
      <c r="T38" s="125" t="str">
        <f>IF(AND(R38="Preventivo",S38="Automático"),"50%",IF(AND(R38="Preventivo",S38="Manual"),"40%",IF(AND(R38="Detectivo",S38="Automático"),"40%",IF(AND(R38="Detectivo",S38="Manual"),"30%",IF(AND(R38="Correctivo",S38="Automático"),"35%",IF(AND(R38="Correctivo",S38="Manual"),"25%",""))))))</f>
        <v/>
      </c>
      <c r="U38" s="124"/>
      <c r="V38" s="124"/>
      <c r="W38" s="124"/>
      <c r="X38" s="126" t="str">
        <f>IFERROR(IF(Q38="Probabilidad",(I38-(+I38*T38)),IF(Q38="Impacto",I38,"")),"")</f>
        <v/>
      </c>
      <c r="Y38" s="127" t="str">
        <f>IFERROR(IF(X38="","",IF(X38&lt;=0.2,"Muy Baja",IF(X38&lt;=0.4,"Baja",IF(X38&lt;=0.6,"Media",IF(X38&lt;=0.8,"Alta","Muy Alta"))))),"")</f>
        <v/>
      </c>
      <c r="Z38" s="128" t="str">
        <f>+X38</f>
        <v/>
      </c>
      <c r="AA38" s="127" t="str">
        <f>IFERROR(IF(AB38="","",IF(AB38&lt;=0.2,"Leve",IF(AB38&lt;=0.4,"Menor",IF(AB38&lt;=0.6,"Moderado",IF(AB38&lt;=0.8,"Mayor","Catastrófico"))))),"")</f>
        <v/>
      </c>
      <c r="AB38" s="128" t="str">
        <f>IFERROR(IF(Q38="Impacto",(M38-(+M38*T38)),IF(Q38="Probabilidad",M38,"")),"")</f>
        <v/>
      </c>
      <c r="AC38" s="129"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0"/>
      <c r="AE38" s="131"/>
      <c r="AF38" s="132"/>
      <c r="AG38" s="133"/>
      <c r="AH38" s="133"/>
      <c r="AI38" s="131"/>
      <c r="AJ38" s="132"/>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18" hidden="1" customHeight="1" x14ac:dyDescent="0.3">
      <c r="A39" s="298"/>
      <c r="B39" s="300"/>
      <c r="C39" s="300"/>
      <c r="D39" s="300"/>
      <c r="E39" s="302"/>
      <c r="F39" s="300"/>
      <c r="G39" s="304"/>
      <c r="H39" s="306"/>
      <c r="I39" s="292"/>
      <c r="J39" s="308"/>
      <c r="K39" s="292">
        <f>IF(NOT(ISERROR(MATCH(J39,_xlfn.ANCHORARRAY(E50),0))),I52&amp;"Por favor no seleccionar los criterios de impacto",J39)</f>
        <v>0</v>
      </c>
      <c r="L39" s="306"/>
      <c r="M39" s="292"/>
      <c r="N39" s="295"/>
      <c r="O39" s="121">
        <v>2</v>
      </c>
      <c r="P39" s="122"/>
      <c r="Q39" s="123" t="str">
        <f t="shared" si="0"/>
        <v/>
      </c>
      <c r="R39" s="124"/>
      <c r="S39" s="124"/>
      <c r="T39" s="125" t="str">
        <f t="shared" ref="T39:T43" si="6">IF(AND(R39="Preventivo",S39="Automático"),"50%",IF(AND(R39="Preventivo",S39="Manual"),"40%",IF(AND(R39="Detectivo",S39="Automático"),"40%",IF(AND(R39="Detectivo",S39="Manual"),"30%",IF(AND(R39="Correctivo",S39="Automático"),"35%",IF(AND(R39="Correctivo",S39="Manual"),"25%",""))))))</f>
        <v/>
      </c>
      <c r="U39" s="124"/>
      <c r="V39" s="124"/>
      <c r="W39" s="124"/>
      <c r="X39" s="126" t="str">
        <f>IFERROR(IF(AND(Q38="Probabilidad",Q39="Probabilidad"),(Z38-(+Z38*T39)),IF(Q39="Probabilidad",(I38-(+I38*T39)),IF(Q39="Impacto",Z38,""))),"")</f>
        <v/>
      </c>
      <c r="Y39" s="127" t="str">
        <f t="shared" si="2"/>
        <v/>
      </c>
      <c r="Z39" s="128" t="str">
        <f t="shared" ref="Z39:Z43" si="7">+X39</f>
        <v/>
      </c>
      <c r="AA39" s="127" t="str">
        <f t="shared" si="4"/>
        <v/>
      </c>
      <c r="AB39" s="128" t="str">
        <f>IFERROR(IF(AND(Q38="Impacto",Q39="Impacto"),(AB38-(+AB38*T39)),IF(Q39="Impacto",(M38-(+M38*T39)),IF(Q39="Probabilidad",AB38,""))),"")</f>
        <v/>
      </c>
      <c r="AC39" s="129" t="str">
        <f t="shared" ref="AC39:AC40" si="8">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0"/>
      <c r="AE39" s="131"/>
      <c r="AF39" s="132"/>
      <c r="AG39" s="133"/>
      <c r="AH39" s="133"/>
      <c r="AI39" s="131"/>
      <c r="AJ39" s="132"/>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18" hidden="1" customHeight="1" x14ac:dyDescent="0.3">
      <c r="A40" s="298"/>
      <c r="B40" s="300"/>
      <c r="C40" s="300"/>
      <c r="D40" s="300"/>
      <c r="E40" s="302"/>
      <c r="F40" s="300"/>
      <c r="G40" s="304"/>
      <c r="H40" s="306"/>
      <c r="I40" s="292"/>
      <c r="J40" s="308"/>
      <c r="K40" s="292">
        <f>IF(NOT(ISERROR(MATCH(J40,_xlfn.ANCHORARRAY(E51),0))),I53&amp;"Por favor no seleccionar los criterios de impacto",J40)</f>
        <v>0</v>
      </c>
      <c r="L40" s="306"/>
      <c r="M40" s="292"/>
      <c r="N40" s="295"/>
      <c r="O40" s="121">
        <v>3</v>
      </c>
      <c r="P40" s="134"/>
      <c r="Q40" s="123" t="str">
        <f t="shared" si="0"/>
        <v/>
      </c>
      <c r="R40" s="124"/>
      <c r="S40" s="124"/>
      <c r="T40" s="125" t="str">
        <f t="shared" si="6"/>
        <v/>
      </c>
      <c r="U40" s="124"/>
      <c r="V40" s="124"/>
      <c r="W40" s="124"/>
      <c r="X40" s="126" t="str">
        <f>IFERROR(IF(AND(Q39="Probabilidad",Q40="Probabilidad"),(Z39-(+Z39*T40)),IF(AND(Q39="Impacto",Q40="Probabilidad"),(Z38-(+Z38*T40)),IF(Q40="Impacto",Z39,""))),"")</f>
        <v/>
      </c>
      <c r="Y40" s="127" t="str">
        <f t="shared" si="2"/>
        <v/>
      </c>
      <c r="Z40" s="128" t="str">
        <f t="shared" si="7"/>
        <v/>
      </c>
      <c r="AA40" s="127" t="str">
        <f t="shared" si="4"/>
        <v/>
      </c>
      <c r="AB40" s="128" t="str">
        <f>IFERROR(IF(AND(Q39="Impacto",Q40="Impacto"),(AB39-(+AB39*T40)),IF(AND(Q39="Probabilidad",Q40="Impacto"),(AB38-(+AB38*T40)),IF(Q40="Probabilidad",AB39,""))),"")</f>
        <v/>
      </c>
      <c r="AC40" s="129" t="str">
        <f t="shared" si="8"/>
        <v/>
      </c>
      <c r="AD40" s="130"/>
      <c r="AE40" s="131"/>
      <c r="AF40" s="132"/>
      <c r="AG40" s="133"/>
      <c r="AH40" s="133"/>
      <c r="AI40" s="131"/>
      <c r="AJ40" s="132"/>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18" hidden="1" customHeight="1" x14ac:dyDescent="0.3">
      <c r="A41" s="298"/>
      <c r="B41" s="300"/>
      <c r="C41" s="300"/>
      <c r="D41" s="300"/>
      <c r="E41" s="302"/>
      <c r="F41" s="300"/>
      <c r="G41" s="304"/>
      <c r="H41" s="306"/>
      <c r="I41" s="292"/>
      <c r="J41" s="308"/>
      <c r="K41" s="292">
        <f>IF(NOT(ISERROR(MATCH(J41,_xlfn.ANCHORARRAY(E52),0))),I54&amp;"Por favor no seleccionar los criterios de impacto",J41)</f>
        <v>0</v>
      </c>
      <c r="L41" s="306"/>
      <c r="M41" s="292"/>
      <c r="N41" s="295"/>
      <c r="O41" s="121">
        <v>4</v>
      </c>
      <c r="P41" s="122"/>
      <c r="Q41" s="123" t="str">
        <f t="shared" ref="Q41:Q43" si="9">IF(OR(R41="Preventivo",R41="Detectivo"),"Probabilidad",IF(R41="Correctivo","Impacto",""))</f>
        <v/>
      </c>
      <c r="R41" s="124"/>
      <c r="S41" s="124"/>
      <c r="T41" s="125" t="str">
        <f t="shared" si="6"/>
        <v/>
      </c>
      <c r="U41" s="124"/>
      <c r="V41" s="124"/>
      <c r="W41" s="124"/>
      <c r="X41" s="126" t="str">
        <f t="shared" ref="X41:X43" si="10">IFERROR(IF(AND(Q40="Probabilidad",Q41="Probabilidad"),(Z40-(+Z40*T41)),IF(AND(Q40="Impacto",Q41="Probabilidad"),(Z39-(+Z39*T41)),IF(Q41="Impacto",Z40,""))),"")</f>
        <v/>
      </c>
      <c r="Y41" s="127" t="str">
        <f t="shared" si="2"/>
        <v/>
      </c>
      <c r="Z41" s="128" t="str">
        <f t="shared" si="7"/>
        <v/>
      </c>
      <c r="AA41" s="127" t="str">
        <f t="shared" si="4"/>
        <v/>
      </c>
      <c r="AB41" s="128" t="str">
        <f t="shared" ref="AB41:AB43" si="11">IFERROR(IF(AND(Q40="Impacto",Q41="Impacto"),(AB40-(+AB40*T41)),IF(AND(Q40="Probabilidad",Q41="Impacto"),(AB39-(+AB39*T41)),IF(Q41="Probabilidad",AB40,""))),"")</f>
        <v/>
      </c>
      <c r="AC41" s="129"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0"/>
      <c r="AE41" s="131"/>
      <c r="AF41" s="132"/>
      <c r="AG41" s="133"/>
      <c r="AH41" s="133"/>
      <c r="AI41" s="131"/>
      <c r="AJ41" s="132"/>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18" hidden="1" customHeight="1" x14ac:dyDescent="0.3">
      <c r="A42" s="298"/>
      <c r="B42" s="300"/>
      <c r="C42" s="300"/>
      <c r="D42" s="300"/>
      <c r="E42" s="302"/>
      <c r="F42" s="300"/>
      <c r="G42" s="304"/>
      <c r="H42" s="306"/>
      <c r="I42" s="292"/>
      <c r="J42" s="308"/>
      <c r="K42" s="292">
        <f>IF(NOT(ISERROR(MATCH(J42,_xlfn.ANCHORARRAY(E53),0))),#REF!&amp;"Por favor no seleccionar los criterios de impacto",J42)</f>
        <v>0</v>
      </c>
      <c r="L42" s="306"/>
      <c r="M42" s="292"/>
      <c r="N42" s="295"/>
      <c r="O42" s="121">
        <v>5</v>
      </c>
      <c r="P42" s="122"/>
      <c r="Q42" s="123" t="str">
        <f t="shared" si="9"/>
        <v/>
      </c>
      <c r="R42" s="124"/>
      <c r="S42" s="124"/>
      <c r="T42" s="125" t="str">
        <f t="shared" si="6"/>
        <v/>
      </c>
      <c r="U42" s="124"/>
      <c r="V42" s="124"/>
      <c r="W42" s="124"/>
      <c r="X42" s="126" t="str">
        <f t="shared" si="10"/>
        <v/>
      </c>
      <c r="Y42" s="127" t="str">
        <f t="shared" si="2"/>
        <v/>
      </c>
      <c r="Z42" s="128" t="str">
        <f t="shared" si="7"/>
        <v/>
      </c>
      <c r="AA42" s="127" t="str">
        <f t="shared" si="4"/>
        <v/>
      </c>
      <c r="AB42" s="128" t="str">
        <f t="shared" si="11"/>
        <v/>
      </c>
      <c r="AC42" s="129" t="str">
        <f t="shared" ref="AC42:AC43" si="12">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0"/>
      <c r="AE42" s="131"/>
      <c r="AF42" s="132"/>
      <c r="AG42" s="133"/>
      <c r="AH42" s="133"/>
      <c r="AI42" s="131"/>
      <c r="AJ42" s="132"/>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18" hidden="1" customHeight="1" x14ac:dyDescent="0.3">
      <c r="A43" s="311"/>
      <c r="B43" s="312"/>
      <c r="C43" s="312"/>
      <c r="D43" s="312"/>
      <c r="E43" s="313"/>
      <c r="F43" s="312"/>
      <c r="G43" s="314"/>
      <c r="H43" s="310"/>
      <c r="I43" s="293"/>
      <c r="J43" s="309"/>
      <c r="K43" s="293">
        <f>IF(NOT(ISERROR(MATCH(J43,_xlfn.ANCHORARRAY(E54),0))),I55&amp;"Por favor no seleccionar los criterios de impacto",J43)</f>
        <v>0</v>
      </c>
      <c r="L43" s="310"/>
      <c r="M43" s="293"/>
      <c r="N43" s="296"/>
      <c r="O43" s="121">
        <v>6</v>
      </c>
      <c r="P43" s="122"/>
      <c r="Q43" s="123" t="str">
        <f t="shared" si="9"/>
        <v/>
      </c>
      <c r="R43" s="124"/>
      <c r="S43" s="124"/>
      <c r="T43" s="125" t="str">
        <f t="shared" si="6"/>
        <v/>
      </c>
      <c r="U43" s="124"/>
      <c r="V43" s="124"/>
      <c r="W43" s="124"/>
      <c r="X43" s="126" t="str">
        <f t="shared" si="10"/>
        <v/>
      </c>
      <c r="Y43" s="127" t="str">
        <f t="shared" si="2"/>
        <v/>
      </c>
      <c r="Z43" s="128" t="str">
        <f t="shared" si="7"/>
        <v/>
      </c>
      <c r="AA43" s="127" t="str">
        <f t="shared" si="4"/>
        <v/>
      </c>
      <c r="AB43" s="128" t="str">
        <f t="shared" si="11"/>
        <v/>
      </c>
      <c r="AC43" s="129" t="str">
        <f t="shared" si="12"/>
        <v/>
      </c>
      <c r="AD43" s="130"/>
      <c r="AE43" s="131"/>
      <c r="AF43" s="132"/>
      <c r="AG43" s="133"/>
      <c r="AH43" s="133"/>
      <c r="AI43" s="131"/>
      <c r="AJ43" s="132"/>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18" hidden="1" customHeight="1" x14ac:dyDescent="0.3">
      <c r="A44" s="297">
        <v>9</v>
      </c>
      <c r="B44" s="299"/>
      <c r="C44" s="299"/>
      <c r="D44" s="299"/>
      <c r="E44" s="301"/>
      <c r="F44" s="299"/>
      <c r="G44" s="303"/>
      <c r="H44" s="305" t="str">
        <f>IF(G44&lt;=0,"",IF(G44&lt;=2,"Muy Baja",IF(G44&lt;=24,"Baja",IF(G44&lt;=500,"Media",IF(G44&lt;=5000,"Alta","Muy Alta")))))</f>
        <v/>
      </c>
      <c r="I44" s="291" t="str">
        <f>IF(H44="","",IF(H44="Muy Baja",0.2,IF(H44="Baja",0.4,IF(H44="Media",0.6,IF(H44="Alta",0.8,IF(H44="Muy Alta",1,))))))</f>
        <v/>
      </c>
      <c r="J44" s="307"/>
      <c r="K44" s="291">
        <f>IF(NOT(ISERROR(MATCH(J44,'Tabla Impacto'!$B$221:$B$223,0))),'Tabla Impacto'!$F$228&amp;"Por favor no seleccionar los criterios de impacto(Afectación Económica o presupuestal y Pérdida Reputacional)",J44)</f>
        <v>0</v>
      </c>
      <c r="L44" s="305" t="str">
        <f>IF(OR(K44='Tabla Impacto'!$C$11,K44='Tabla Impacto'!$D$11),"Leve",IF(OR(K44='Tabla Impacto'!$C$12,K44='Tabla Impacto'!$D$12),"Menor",IF(OR(K44='Tabla Impacto'!$C$13,K44='Tabla Impacto'!$D$13),"Moderado",IF(OR(K44='Tabla Impacto'!$C$14,K44='Tabla Impacto'!$D$14),"Mayor",IF(OR(K44='Tabla Impacto'!$C$15,K44='Tabla Impacto'!$D$15),"Catastrófico","")))))</f>
        <v/>
      </c>
      <c r="M44" s="291" t="str">
        <f>IF(L44="","",IF(L44="Leve",0.2,IF(L44="Menor",0.4,IF(L44="Moderado",0.6,IF(L44="Mayor",0.8,IF(L44="Catastrófico",1,))))))</f>
        <v/>
      </c>
      <c r="N44" s="294"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21">
        <v>1</v>
      </c>
      <c r="P44" s="122"/>
      <c r="Q44" s="123" t="str">
        <f>IF(OR(R44="Preventivo",R44="Detectivo"),"Probabilidad",IF(R44="Correctivo","Impacto",""))</f>
        <v/>
      </c>
      <c r="R44" s="124"/>
      <c r="S44" s="124"/>
      <c r="T44" s="125" t="str">
        <f>IF(AND(R44="Preventivo",S44="Automático"),"50%",IF(AND(R44="Preventivo",S44="Manual"),"40%",IF(AND(R44="Detectivo",S44="Automático"),"40%",IF(AND(R44="Detectivo",S44="Manual"),"30%",IF(AND(R44="Correctivo",S44="Automático"),"35%",IF(AND(R44="Correctivo",S44="Manual"),"25%",""))))))</f>
        <v/>
      </c>
      <c r="U44" s="124"/>
      <c r="V44" s="124"/>
      <c r="W44" s="124"/>
      <c r="X44" s="126" t="str">
        <f>IFERROR(IF(Q44="Probabilidad",(I44-(+I44*T44)),IF(Q44="Impacto",I44,"")),"")</f>
        <v/>
      </c>
      <c r="Y44" s="127" t="str">
        <f>IFERROR(IF(X44="","",IF(X44&lt;=0.2,"Muy Baja",IF(X44&lt;=0.4,"Baja",IF(X44&lt;=0.6,"Media",IF(X44&lt;=0.8,"Alta","Muy Alta"))))),"")</f>
        <v/>
      </c>
      <c r="Z44" s="128" t="str">
        <f>+X44</f>
        <v/>
      </c>
      <c r="AA44" s="127" t="str">
        <f>IFERROR(IF(AB44="","",IF(AB44&lt;=0.2,"Leve",IF(AB44&lt;=0.4,"Menor",IF(AB44&lt;=0.6,"Moderado",IF(AB44&lt;=0.8,"Mayor","Catastrófico"))))),"")</f>
        <v/>
      </c>
      <c r="AB44" s="128" t="str">
        <f>IFERROR(IF(Q44="Impacto",(M44-(+M44*T44)),IF(Q44="Probabilidad",M44,"")),"")</f>
        <v/>
      </c>
      <c r="AC44" s="129"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0"/>
      <c r="AE44" s="131"/>
      <c r="AF44" s="132"/>
      <c r="AG44" s="133"/>
      <c r="AH44" s="133"/>
      <c r="AI44" s="131"/>
      <c r="AJ44" s="132"/>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18" hidden="1" customHeight="1" x14ac:dyDescent="0.3">
      <c r="A45" s="298"/>
      <c r="B45" s="300"/>
      <c r="C45" s="300"/>
      <c r="D45" s="300"/>
      <c r="E45" s="302"/>
      <c r="F45" s="300"/>
      <c r="G45" s="304"/>
      <c r="H45" s="306"/>
      <c r="I45" s="292"/>
      <c r="J45" s="308"/>
      <c r="K45" s="292">
        <f>IF(NOT(ISERROR(MATCH(J45,_xlfn.ANCHORARRAY(E55),0))),I57&amp;"Por favor no seleccionar los criterios de impacto",J45)</f>
        <v>0</v>
      </c>
      <c r="L45" s="306"/>
      <c r="M45" s="292"/>
      <c r="N45" s="295"/>
      <c r="O45" s="121">
        <v>2</v>
      </c>
      <c r="P45" s="122"/>
      <c r="Q45" s="123" t="str">
        <f>IF(OR(R45="Preventivo",R45="Detectivo"),"Probabilidad",IF(R45="Correctivo","Impacto",""))</f>
        <v/>
      </c>
      <c r="R45" s="124"/>
      <c r="S45" s="124"/>
      <c r="T45" s="125" t="str">
        <f t="shared" ref="T45:T49" si="13">IF(AND(R45="Preventivo",S45="Automático"),"50%",IF(AND(R45="Preventivo",S45="Manual"),"40%",IF(AND(R45="Detectivo",S45="Automático"),"40%",IF(AND(R45="Detectivo",S45="Manual"),"30%",IF(AND(R45="Correctivo",S45="Automático"),"35%",IF(AND(R45="Correctivo",S45="Manual"),"25%",""))))))</f>
        <v/>
      </c>
      <c r="U45" s="124"/>
      <c r="V45" s="124"/>
      <c r="W45" s="124"/>
      <c r="X45" s="126" t="str">
        <f>IFERROR(IF(AND(Q44="Probabilidad",Q45="Probabilidad"),(Z44-(+Z44*T45)),IF(Q45="Probabilidad",(I44-(+I44*T45)),IF(Q45="Impacto",Z44,""))),"")</f>
        <v/>
      </c>
      <c r="Y45" s="127" t="str">
        <f t="shared" si="2"/>
        <v/>
      </c>
      <c r="Z45" s="128" t="str">
        <f t="shared" ref="Z45:Z49" si="14">+X45</f>
        <v/>
      </c>
      <c r="AA45" s="127" t="str">
        <f t="shared" si="4"/>
        <v/>
      </c>
      <c r="AB45" s="128" t="str">
        <f>IFERROR(IF(AND(Q44="Impacto",Q45="Impacto"),(AB44-(+AB44*T45)),IF(Q45="Impacto",(M44-(+M44*T45)),IF(Q45="Probabilidad",AB44,""))),"")</f>
        <v/>
      </c>
      <c r="AC45" s="129" t="str">
        <f t="shared" ref="AC45:AC46" si="15">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0"/>
      <c r="AE45" s="131"/>
      <c r="AF45" s="132"/>
      <c r="AG45" s="133"/>
      <c r="AH45" s="133"/>
      <c r="AI45" s="131"/>
      <c r="AJ45" s="132"/>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18" hidden="1" customHeight="1" x14ac:dyDescent="0.3">
      <c r="A46" s="298"/>
      <c r="B46" s="300"/>
      <c r="C46" s="300"/>
      <c r="D46" s="300"/>
      <c r="E46" s="302"/>
      <c r="F46" s="300"/>
      <c r="G46" s="304"/>
      <c r="H46" s="306"/>
      <c r="I46" s="292"/>
      <c r="J46" s="308"/>
      <c r="K46" s="292">
        <f>IF(NOT(ISERROR(MATCH(J46,_xlfn.ANCHORARRAY(E56),0))),I58&amp;"Por favor no seleccionar los criterios de impacto",J46)</f>
        <v>0</v>
      </c>
      <c r="L46" s="306"/>
      <c r="M46" s="292"/>
      <c r="N46" s="295"/>
      <c r="O46" s="121">
        <v>3</v>
      </c>
      <c r="P46" s="134"/>
      <c r="Q46" s="123" t="str">
        <f>IF(OR(R46="Preventivo",R46="Detectivo"),"Probabilidad",IF(R46="Correctivo","Impacto",""))</f>
        <v/>
      </c>
      <c r="R46" s="124"/>
      <c r="S46" s="124"/>
      <c r="T46" s="125" t="str">
        <f t="shared" si="13"/>
        <v/>
      </c>
      <c r="U46" s="124"/>
      <c r="V46" s="124"/>
      <c r="W46" s="124"/>
      <c r="X46" s="126" t="str">
        <f>IFERROR(IF(AND(Q45="Probabilidad",Q46="Probabilidad"),(Z45-(+Z45*T46)),IF(AND(Q45="Impacto",Q46="Probabilidad"),(Z44-(+Z44*T46)),IF(Q46="Impacto",Z45,""))),"")</f>
        <v/>
      </c>
      <c r="Y46" s="127" t="str">
        <f t="shared" si="2"/>
        <v/>
      </c>
      <c r="Z46" s="128" t="str">
        <f t="shared" si="14"/>
        <v/>
      </c>
      <c r="AA46" s="127" t="str">
        <f t="shared" si="4"/>
        <v/>
      </c>
      <c r="AB46" s="128" t="str">
        <f>IFERROR(IF(AND(Q45="Impacto",Q46="Impacto"),(AB45-(+AB45*T46)),IF(AND(Q45="Probabilidad",Q46="Impacto"),(AB44-(+AB44*T46)),IF(Q46="Probabilidad",AB45,""))),"")</f>
        <v/>
      </c>
      <c r="AC46" s="129" t="str">
        <f t="shared" si="15"/>
        <v/>
      </c>
      <c r="AD46" s="130"/>
      <c r="AE46" s="131"/>
      <c r="AF46" s="132"/>
      <c r="AG46" s="133"/>
      <c r="AH46" s="133"/>
      <c r="AI46" s="131"/>
      <c r="AJ46" s="132"/>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18" hidden="1" customHeight="1" x14ac:dyDescent="0.3">
      <c r="A47" s="298"/>
      <c r="B47" s="300"/>
      <c r="C47" s="300"/>
      <c r="D47" s="300"/>
      <c r="E47" s="302"/>
      <c r="F47" s="300"/>
      <c r="G47" s="304"/>
      <c r="H47" s="306"/>
      <c r="I47" s="292"/>
      <c r="J47" s="308"/>
      <c r="K47" s="292">
        <f>IF(NOT(ISERROR(MATCH(J47,_xlfn.ANCHORARRAY(E57),0))),I59&amp;"Por favor no seleccionar los criterios de impacto",J47)</f>
        <v>0</v>
      </c>
      <c r="L47" s="306"/>
      <c r="M47" s="292"/>
      <c r="N47" s="295"/>
      <c r="O47" s="121">
        <v>4</v>
      </c>
      <c r="P47" s="122"/>
      <c r="Q47" s="123" t="str">
        <f t="shared" ref="Q47:Q49" si="16">IF(OR(R47="Preventivo",R47="Detectivo"),"Probabilidad",IF(R47="Correctivo","Impacto",""))</f>
        <v/>
      </c>
      <c r="R47" s="124"/>
      <c r="S47" s="124"/>
      <c r="T47" s="125" t="str">
        <f t="shared" si="13"/>
        <v/>
      </c>
      <c r="U47" s="124"/>
      <c r="V47" s="124"/>
      <c r="W47" s="124"/>
      <c r="X47" s="126" t="str">
        <f t="shared" ref="X47:X49" si="17">IFERROR(IF(AND(Q46="Probabilidad",Q47="Probabilidad"),(Z46-(+Z46*T47)),IF(AND(Q46="Impacto",Q47="Probabilidad"),(Z45-(+Z45*T47)),IF(Q47="Impacto",Z46,""))),"")</f>
        <v/>
      </c>
      <c r="Y47" s="127" t="str">
        <f t="shared" si="2"/>
        <v/>
      </c>
      <c r="Z47" s="128" t="str">
        <f t="shared" si="14"/>
        <v/>
      </c>
      <c r="AA47" s="127" t="str">
        <f t="shared" si="4"/>
        <v/>
      </c>
      <c r="AB47" s="128" t="str">
        <f t="shared" ref="AB47:AB49" si="18">IFERROR(IF(AND(Q46="Impacto",Q47="Impacto"),(AB46-(+AB46*T47)),IF(AND(Q46="Probabilidad",Q47="Impacto"),(AB45-(+AB45*T47)),IF(Q47="Probabilidad",AB46,""))),"")</f>
        <v/>
      </c>
      <c r="AC47" s="12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0"/>
      <c r="AE47" s="131"/>
      <c r="AF47" s="132"/>
      <c r="AG47" s="133"/>
      <c r="AH47" s="133"/>
      <c r="AI47" s="131"/>
      <c r="AJ47" s="132"/>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18" hidden="1" customHeight="1" x14ac:dyDescent="0.3">
      <c r="A48" s="298"/>
      <c r="B48" s="300"/>
      <c r="C48" s="300"/>
      <c r="D48" s="300"/>
      <c r="E48" s="302"/>
      <c r="F48" s="300"/>
      <c r="G48" s="304"/>
      <c r="H48" s="306"/>
      <c r="I48" s="292"/>
      <c r="J48" s="308"/>
      <c r="K48" s="292">
        <f>IF(NOT(ISERROR(MATCH(J48,_xlfn.ANCHORARRAY(E58),0))),I60&amp;"Por favor no seleccionar los criterios de impacto",J48)</f>
        <v>0</v>
      </c>
      <c r="L48" s="306"/>
      <c r="M48" s="292"/>
      <c r="N48" s="295"/>
      <c r="O48" s="121">
        <v>5</v>
      </c>
      <c r="P48" s="122"/>
      <c r="Q48" s="123" t="str">
        <f t="shared" si="16"/>
        <v/>
      </c>
      <c r="R48" s="124"/>
      <c r="S48" s="124"/>
      <c r="T48" s="125" t="str">
        <f t="shared" si="13"/>
        <v/>
      </c>
      <c r="U48" s="124"/>
      <c r="V48" s="124"/>
      <c r="W48" s="124"/>
      <c r="X48" s="126" t="str">
        <f t="shared" si="17"/>
        <v/>
      </c>
      <c r="Y48" s="127" t="str">
        <f t="shared" si="2"/>
        <v/>
      </c>
      <c r="Z48" s="128" t="str">
        <f t="shared" si="14"/>
        <v/>
      </c>
      <c r="AA48" s="127" t="str">
        <f t="shared" si="4"/>
        <v/>
      </c>
      <c r="AB48" s="128" t="str">
        <f t="shared" si="18"/>
        <v/>
      </c>
      <c r="AC48" s="129" t="str">
        <f t="shared" ref="AC48:AC49" si="19">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0"/>
      <c r="AE48" s="131"/>
      <c r="AF48" s="132"/>
      <c r="AG48" s="133"/>
      <c r="AH48" s="133"/>
      <c r="AI48" s="131"/>
      <c r="AJ48" s="132"/>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18" hidden="1" customHeight="1" x14ac:dyDescent="0.3">
      <c r="A49" s="311"/>
      <c r="B49" s="312"/>
      <c r="C49" s="312"/>
      <c r="D49" s="312"/>
      <c r="E49" s="313"/>
      <c r="F49" s="312"/>
      <c r="G49" s="314"/>
      <c r="H49" s="310"/>
      <c r="I49" s="293"/>
      <c r="J49" s="309"/>
      <c r="K49" s="293">
        <f>IF(NOT(ISERROR(MATCH(J49,_xlfn.ANCHORARRAY(E59),0))),I61&amp;"Por favor no seleccionar los criterios de impacto",J49)</f>
        <v>0</v>
      </c>
      <c r="L49" s="310"/>
      <c r="M49" s="293"/>
      <c r="N49" s="296"/>
      <c r="O49" s="121">
        <v>6</v>
      </c>
      <c r="P49" s="122"/>
      <c r="Q49" s="123" t="str">
        <f t="shared" si="16"/>
        <v/>
      </c>
      <c r="R49" s="124"/>
      <c r="S49" s="124"/>
      <c r="T49" s="125" t="str">
        <f t="shared" si="13"/>
        <v/>
      </c>
      <c r="U49" s="124"/>
      <c r="V49" s="124"/>
      <c r="W49" s="124"/>
      <c r="X49" s="126" t="str">
        <f t="shared" si="17"/>
        <v/>
      </c>
      <c r="Y49" s="127" t="str">
        <f t="shared" si="2"/>
        <v/>
      </c>
      <c r="Z49" s="128" t="str">
        <f t="shared" si="14"/>
        <v/>
      </c>
      <c r="AA49" s="127" t="str">
        <f t="shared" si="4"/>
        <v/>
      </c>
      <c r="AB49" s="128" t="str">
        <f t="shared" si="18"/>
        <v/>
      </c>
      <c r="AC49" s="129" t="str">
        <f t="shared" si="19"/>
        <v/>
      </c>
      <c r="AD49" s="130"/>
      <c r="AE49" s="131"/>
      <c r="AF49" s="132"/>
      <c r="AG49" s="133"/>
      <c r="AH49" s="133"/>
      <c r="AI49" s="131"/>
      <c r="AJ49" s="132"/>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18" hidden="1" customHeight="1" x14ac:dyDescent="0.3">
      <c r="A50" s="297">
        <v>10</v>
      </c>
      <c r="B50" s="299"/>
      <c r="C50" s="299"/>
      <c r="D50" s="299"/>
      <c r="E50" s="301"/>
      <c r="F50" s="299"/>
      <c r="G50" s="303"/>
      <c r="H50" s="305" t="str">
        <f>IF(G50&lt;=0,"",IF(G50&lt;=2,"Muy Baja",IF(G50&lt;=24,"Baja",IF(G50&lt;=500,"Media",IF(G50&lt;=5000,"Alta","Muy Alta")))))</f>
        <v/>
      </c>
      <c r="I50" s="291" t="str">
        <f>IF(H50="","",IF(H50="Muy Baja",0.2,IF(H50="Baja",0.4,IF(H50="Media",0.6,IF(H50="Alta",0.8,IF(H50="Muy Alta",1,))))))</f>
        <v/>
      </c>
      <c r="J50" s="307"/>
      <c r="K50" s="291">
        <f>IF(NOT(ISERROR(MATCH(J50,'Tabla Impacto'!$B$221:$B$223,0))),'Tabla Impacto'!$F$228&amp;"Por favor no seleccionar los criterios de impacto(Afectación Económica o presupuestal y Pérdida Reputacional)",J50)</f>
        <v>0</v>
      </c>
      <c r="L50" s="305" t="str">
        <f>IF(OR(K50='Tabla Impacto'!$C$11,K50='Tabla Impacto'!$D$11),"Leve",IF(OR(K50='Tabla Impacto'!$C$12,K50='Tabla Impacto'!$D$12),"Menor",IF(OR(K50='Tabla Impacto'!$C$13,K50='Tabla Impacto'!$D$13),"Moderado",IF(OR(K50='Tabla Impacto'!$C$14,K50='Tabla Impacto'!$D$14),"Mayor",IF(OR(K50='Tabla Impacto'!$C$15,K50='Tabla Impacto'!$D$15),"Catastrófico","")))))</f>
        <v/>
      </c>
      <c r="M50" s="291" t="str">
        <f>IF(L50="","",IF(L50="Leve",0.2,IF(L50="Menor",0.4,IF(L50="Moderado",0.6,IF(L50="Mayor",0.8,IF(L50="Catastrófico",1,))))))</f>
        <v/>
      </c>
      <c r="N50" s="294"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21">
        <v>1</v>
      </c>
      <c r="P50" s="122"/>
      <c r="Q50" s="123" t="str">
        <f>IF(OR(R50="Preventivo",R50="Detectivo"),"Probabilidad",IF(R50="Correctivo","Impacto",""))</f>
        <v/>
      </c>
      <c r="R50" s="124"/>
      <c r="S50" s="124"/>
      <c r="T50" s="125" t="str">
        <f>IF(AND(R50="Preventivo",S50="Automático"),"50%",IF(AND(R50="Preventivo",S50="Manual"),"40%",IF(AND(R50="Detectivo",S50="Automático"),"40%",IF(AND(R50="Detectivo",S50="Manual"),"30%",IF(AND(R50="Correctivo",S50="Automático"),"35%",IF(AND(R50="Correctivo",S50="Manual"),"25%",""))))))</f>
        <v/>
      </c>
      <c r="U50" s="124"/>
      <c r="V50" s="124"/>
      <c r="W50" s="124"/>
      <c r="X50" s="126" t="str">
        <f>IFERROR(IF(Q50="Probabilidad",(I50-(+I50*T50)),IF(Q50="Impacto",I50,"")),"")</f>
        <v/>
      </c>
      <c r="Y50" s="127" t="str">
        <f>IFERROR(IF(X50="","",IF(X50&lt;=0.2,"Muy Baja",IF(X50&lt;=0.4,"Baja",IF(X50&lt;=0.6,"Media",IF(X50&lt;=0.8,"Alta","Muy Alta"))))),"")</f>
        <v/>
      </c>
      <c r="Z50" s="128" t="str">
        <f>+X50</f>
        <v/>
      </c>
      <c r="AA50" s="127" t="str">
        <f>IFERROR(IF(AB50="","",IF(AB50&lt;=0.2,"Leve",IF(AB50&lt;=0.4,"Menor",IF(AB50&lt;=0.6,"Moderado",IF(AB50&lt;=0.8,"Mayor","Catastrófico"))))),"")</f>
        <v/>
      </c>
      <c r="AB50" s="128" t="str">
        <f>IFERROR(IF(Q50="Impacto",(M50-(+M50*T50)),IF(Q50="Probabilidad",M50,"")),"")</f>
        <v/>
      </c>
      <c r="AC50" s="129"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0"/>
      <c r="AE50" s="131"/>
      <c r="AF50" s="132"/>
      <c r="AG50" s="133"/>
      <c r="AH50" s="133"/>
      <c r="AI50" s="131"/>
      <c r="AJ50" s="132"/>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18" hidden="1" customHeight="1" x14ac:dyDescent="0.3">
      <c r="A51" s="298"/>
      <c r="B51" s="300"/>
      <c r="C51" s="300"/>
      <c r="D51" s="300"/>
      <c r="E51" s="302"/>
      <c r="F51" s="300"/>
      <c r="G51" s="304"/>
      <c r="H51" s="306"/>
      <c r="I51" s="292"/>
      <c r="J51" s="308"/>
      <c r="K51" s="292">
        <f>IF(NOT(ISERROR(MATCH(J51,_xlfn.ANCHORARRAY(E61),0))),I63&amp;"Por favor no seleccionar los criterios de impacto",J51)</f>
        <v>0</v>
      </c>
      <c r="L51" s="306"/>
      <c r="M51" s="292"/>
      <c r="N51" s="295"/>
      <c r="O51" s="121">
        <v>2</v>
      </c>
      <c r="P51" s="122"/>
      <c r="Q51" s="123" t="str">
        <f>IF(OR(R51="Preventivo",R51="Detectivo"),"Probabilidad",IF(R51="Correctivo","Impacto",""))</f>
        <v/>
      </c>
      <c r="R51" s="124"/>
      <c r="S51" s="124"/>
      <c r="T51" s="125" t="str">
        <f t="shared" ref="T51:T54" si="20">IF(AND(R51="Preventivo",S51="Automático"),"50%",IF(AND(R51="Preventivo",S51="Manual"),"40%",IF(AND(R51="Detectivo",S51="Automático"),"40%",IF(AND(R51="Detectivo",S51="Manual"),"30%",IF(AND(R51="Correctivo",S51="Automático"),"35%",IF(AND(R51="Correctivo",S51="Manual"),"25%",""))))))</f>
        <v/>
      </c>
      <c r="U51" s="124"/>
      <c r="V51" s="124"/>
      <c r="W51" s="124"/>
      <c r="X51" s="126" t="str">
        <f>IFERROR(IF(AND(Q50="Probabilidad",Q51="Probabilidad"),(Z50-(+Z50*T51)),IF(Q51="Probabilidad",(I50-(+I50*T51)),IF(Q51="Impacto",Z50,""))),"")</f>
        <v/>
      </c>
      <c r="Y51" s="127" t="str">
        <f t="shared" si="2"/>
        <v/>
      </c>
      <c r="Z51" s="128" t="str">
        <f t="shared" ref="Z51:Z54" si="21">+X51</f>
        <v/>
      </c>
      <c r="AA51" s="127" t="str">
        <f t="shared" si="4"/>
        <v/>
      </c>
      <c r="AB51" s="128" t="str">
        <f>IFERROR(IF(AND(Q50="Impacto",Q51="Impacto"),(AB50-(+AB50*T51)),IF(Q51="Impacto",(M50-(+M50*T51)),IF(Q51="Probabilidad",AB50,""))),"")</f>
        <v/>
      </c>
      <c r="AC51" s="129" t="str">
        <f t="shared" ref="AC51:AC52" si="22">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0"/>
      <c r="AE51" s="131"/>
      <c r="AF51" s="132"/>
      <c r="AG51" s="133"/>
      <c r="AH51" s="133"/>
      <c r="AI51" s="131"/>
      <c r="AJ51" s="132"/>
    </row>
    <row r="52" spans="1:68" ht="18" hidden="1" customHeight="1" x14ac:dyDescent="0.3">
      <c r="A52" s="298"/>
      <c r="B52" s="300"/>
      <c r="C52" s="300"/>
      <c r="D52" s="300"/>
      <c r="E52" s="302"/>
      <c r="F52" s="300"/>
      <c r="G52" s="304"/>
      <c r="H52" s="306"/>
      <c r="I52" s="292"/>
      <c r="J52" s="308"/>
      <c r="K52" s="292">
        <f>IF(NOT(ISERROR(MATCH(J52,_xlfn.ANCHORARRAY(E62),0))),I64&amp;"Por favor no seleccionar los criterios de impacto",J52)</f>
        <v>0</v>
      </c>
      <c r="L52" s="306"/>
      <c r="M52" s="292"/>
      <c r="N52" s="295"/>
      <c r="O52" s="121">
        <v>3</v>
      </c>
      <c r="P52" s="134"/>
      <c r="Q52" s="123" t="str">
        <f>IF(OR(R52="Preventivo",R52="Detectivo"),"Probabilidad",IF(R52="Correctivo","Impacto",""))</f>
        <v/>
      </c>
      <c r="R52" s="124"/>
      <c r="S52" s="124"/>
      <c r="T52" s="125" t="str">
        <f t="shared" si="20"/>
        <v/>
      </c>
      <c r="U52" s="124"/>
      <c r="V52" s="124"/>
      <c r="W52" s="124"/>
      <c r="X52" s="126" t="str">
        <f>IFERROR(IF(AND(Q51="Probabilidad",Q52="Probabilidad"),(Z51-(+Z51*T52)),IF(AND(Q51="Impacto",Q52="Probabilidad"),(Z50-(+Z50*T52)),IF(Q52="Impacto",Z51,""))),"")</f>
        <v/>
      </c>
      <c r="Y52" s="127" t="str">
        <f t="shared" si="2"/>
        <v/>
      </c>
      <c r="Z52" s="128" t="str">
        <f t="shared" si="21"/>
        <v/>
      </c>
      <c r="AA52" s="127" t="str">
        <f t="shared" si="4"/>
        <v/>
      </c>
      <c r="AB52" s="128" t="str">
        <f>IFERROR(IF(AND(Q51="Impacto",Q52="Impacto"),(AB51-(+AB51*T52)),IF(AND(Q51="Probabilidad",Q52="Impacto"),(AB50-(+AB50*T52)),IF(Q52="Probabilidad",AB51,""))),"")</f>
        <v/>
      </c>
      <c r="AC52" s="129" t="str">
        <f t="shared" si="22"/>
        <v/>
      </c>
      <c r="AD52" s="130"/>
      <c r="AE52" s="131"/>
      <c r="AF52" s="132"/>
      <c r="AG52" s="133"/>
      <c r="AH52" s="133"/>
      <c r="AI52" s="131"/>
      <c r="AJ52" s="132"/>
    </row>
    <row r="53" spans="1:68" ht="18" hidden="1" customHeight="1" x14ac:dyDescent="0.3">
      <c r="A53" s="298"/>
      <c r="B53" s="300"/>
      <c r="C53" s="300"/>
      <c r="D53" s="300"/>
      <c r="E53" s="302"/>
      <c r="F53" s="300"/>
      <c r="G53" s="304"/>
      <c r="H53" s="306"/>
      <c r="I53" s="292"/>
      <c r="J53" s="308"/>
      <c r="K53" s="292">
        <f>IF(NOT(ISERROR(MATCH(J53,_xlfn.ANCHORARRAY(E63),0))),I65&amp;"Por favor no seleccionar los criterios de impacto",J53)</f>
        <v>0</v>
      </c>
      <c r="L53" s="306"/>
      <c r="M53" s="292"/>
      <c r="N53" s="295"/>
      <c r="O53" s="121">
        <v>4</v>
      </c>
      <c r="P53" s="122"/>
      <c r="Q53" s="123" t="str">
        <f t="shared" ref="Q53:Q54" si="23">IF(OR(R53="Preventivo",R53="Detectivo"),"Probabilidad",IF(R53="Correctivo","Impacto",""))</f>
        <v/>
      </c>
      <c r="R53" s="124"/>
      <c r="S53" s="124"/>
      <c r="T53" s="125" t="str">
        <f t="shared" si="20"/>
        <v/>
      </c>
      <c r="U53" s="124"/>
      <c r="V53" s="124"/>
      <c r="W53" s="124"/>
      <c r="X53" s="126" t="str">
        <f t="shared" ref="X53:X54" si="24">IFERROR(IF(AND(Q52="Probabilidad",Q53="Probabilidad"),(Z52-(+Z52*T53)),IF(AND(Q52="Impacto",Q53="Probabilidad"),(Z51-(+Z51*T53)),IF(Q53="Impacto",Z52,""))),"")</f>
        <v/>
      </c>
      <c r="Y53" s="127" t="str">
        <f t="shared" si="2"/>
        <v/>
      </c>
      <c r="Z53" s="128" t="str">
        <f t="shared" si="21"/>
        <v/>
      </c>
      <c r="AA53" s="127" t="str">
        <f t="shared" si="4"/>
        <v/>
      </c>
      <c r="AB53" s="128" t="str">
        <f t="shared" ref="AB53:AB54" si="25">IFERROR(IF(AND(Q52="Impacto",Q53="Impacto"),(AB52-(+AB52*T53)),IF(AND(Q52="Probabilidad",Q53="Impacto"),(AB51-(+AB51*T53)),IF(Q53="Probabilidad",AB52,""))),"")</f>
        <v/>
      </c>
      <c r="AC53" s="129"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0"/>
      <c r="AE53" s="131"/>
      <c r="AF53" s="132"/>
      <c r="AG53" s="133"/>
      <c r="AH53" s="133"/>
      <c r="AI53" s="131"/>
      <c r="AJ53" s="132"/>
    </row>
    <row r="54" spans="1:68" ht="18" hidden="1" customHeight="1" x14ac:dyDescent="0.3">
      <c r="A54" s="298"/>
      <c r="B54" s="300"/>
      <c r="C54" s="300"/>
      <c r="D54" s="300"/>
      <c r="E54" s="302"/>
      <c r="F54" s="300"/>
      <c r="G54" s="304"/>
      <c r="H54" s="306"/>
      <c r="I54" s="292"/>
      <c r="J54" s="308"/>
      <c r="K54" s="292">
        <f>IF(NOT(ISERROR(MATCH(J54,_xlfn.ANCHORARRAY(E64),0))),I66&amp;"Por favor no seleccionar los criterios de impacto",J54)</f>
        <v>0</v>
      </c>
      <c r="L54" s="306"/>
      <c r="M54" s="292"/>
      <c r="N54" s="295"/>
      <c r="O54" s="121">
        <v>5</v>
      </c>
      <c r="P54" s="122"/>
      <c r="Q54" s="123" t="str">
        <f t="shared" si="23"/>
        <v/>
      </c>
      <c r="R54" s="124"/>
      <c r="S54" s="124"/>
      <c r="T54" s="125" t="str">
        <f t="shared" si="20"/>
        <v/>
      </c>
      <c r="U54" s="124"/>
      <c r="V54" s="124"/>
      <c r="W54" s="124"/>
      <c r="X54" s="126" t="str">
        <f t="shared" si="24"/>
        <v/>
      </c>
      <c r="Y54" s="127" t="str">
        <f t="shared" si="2"/>
        <v/>
      </c>
      <c r="Z54" s="128" t="str">
        <f t="shared" si="21"/>
        <v/>
      </c>
      <c r="AA54" s="127" t="str">
        <f t="shared" si="4"/>
        <v/>
      </c>
      <c r="AB54" s="128" t="str">
        <f t="shared" si="25"/>
        <v/>
      </c>
      <c r="AC54" s="129" t="str">
        <f t="shared" ref="AC54" si="2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0"/>
      <c r="AE54" s="131"/>
      <c r="AF54" s="132"/>
      <c r="AG54" s="133"/>
      <c r="AH54" s="133"/>
      <c r="AI54" s="131"/>
      <c r="AJ54" s="132"/>
    </row>
    <row r="55" spans="1:68" ht="49.5" customHeight="1" x14ac:dyDescent="0.3">
      <c r="A55" s="5"/>
      <c r="B55" s="288" t="s">
        <v>171</v>
      </c>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90"/>
    </row>
    <row r="57" spans="1:68" x14ac:dyDescent="0.3">
      <c r="A57" s="1"/>
      <c r="B57" s="23"/>
      <c r="C57" s="1"/>
      <c r="D57" s="1"/>
      <c r="F57" s="1"/>
    </row>
  </sheetData>
  <dataConsolidate/>
  <mergeCells count="127">
    <mergeCell ref="P20:S20"/>
    <mergeCell ref="AE32:AE33"/>
    <mergeCell ref="AF32:AF33"/>
    <mergeCell ref="AG32:AG33"/>
    <mergeCell ref="AH32:AH33"/>
    <mergeCell ref="AI32:AI33"/>
    <mergeCell ref="AJ32:AJ33"/>
    <mergeCell ref="A1:AE5"/>
    <mergeCell ref="W18:AB18"/>
    <mergeCell ref="W19:AB19"/>
    <mergeCell ref="A22:J22"/>
    <mergeCell ref="N7:S7"/>
    <mergeCell ref="W9:AB9"/>
    <mergeCell ref="P8:S8"/>
    <mergeCell ref="P19:S19"/>
    <mergeCell ref="P9:S9"/>
    <mergeCell ref="P10:S10"/>
    <mergeCell ref="P11:S11"/>
    <mergeCell ref="P12:S12"/>
    <mergeCell ref="P13:S13"/>
    <mergeCell ref="P14:S14"/>
    <mergeCell ref="P15:S15"/>
    <mergeCell ref="P16:S16"/>
    <mergeCell ref="P17:S17"/>
    <mergeCell ref="P18:S18"/>
    <mergeCell ref="P21:S21"/>
    <mergeCell ref="Q30:Q31"/>
    <mergeCell ref="R30:W30"/>
    <mergeCell ref="F32:F33"/>
    <mergeCell ref="G32:G33"/>
    <mergeCell ref="H32:H33"/>
    <mergeCell ref="A32:A33"/>
    <mergeCell ref="B32:B33"/>
    <mergeCell ref="D32:D33"/>
    <mergeCell ref="E32:E33"/>
    <mergeCell ref="N32:N33"/>
    <mergeCell ref="I32:I33"/>
    <mergeCell ref="J32:J33"/>
    <mergeCell ref="K32:K33"/>
    <mergeCell ref="L32:L33"/>
    <mergeCell ref="M32:M33"/>
    <mergeCell ref="G30:G31"/>
    <mergeCell ref="H30:H31"/>
    <mergeCell ref="I30:I31"/>
    <mergeCell ref="L30:L31"/>
    <mergeCell ref="M30:M31"/>
    <mergeCell ref="B30:B31"/>
    <mergeCell ref="N30:N31"/>
    <mergeCell ref="J30:J31"/>
    <mergeCell ref="D30:D31"/>
    <mergeCell ref="C30:C31"/>
    <mergeCell ref="AD30:AD31"/>
    <mergeCell ref="O30:O31"/>
    <mergeCell ref="AC30:AC31"/>
    <mergeCell ref="AB30:AB31"/>
    <mergeCell ref="X30:X31"/>
    <mergeCell ref="P30:P31"/>
    <mergeCell ref="AA30:AA31"/>
    <mergeCell ref="Y30:Y31"/>
    <mergeCell ref="Z30:Z31"/>
    <mergeCell ref="J38:J43"/>
    <mergeCell ref="K38:K43"/>
    <mergeCell ref="L38:L43"/>
    <mergeCell ref="M38:M43"/>
    <mergeCell ref="N38:N43"/>
    <mergeCell ref="A38:A43"/>
    <mergeCell ref="B38:B43"/>
    <mergeCell ref="C38:C43"/>
    <mergeCell ref="D38:D43"/>
    <mergeCell ref="E38:E43"/>
    <mergeCell ref="E44:E49"/>
    <mergeCell ref="F44:F49"/>
    <mergeCell ref="G44:G49"/>
    <mergeCell ref="H44:H49"/>
    <mergeCell ref="I44:I49"/>
    <mergeCell ref="F38:F43"/>
    <mergeCell ref="G38:G43"/>
    <mergeCell ref="H38:H43"/>
    <mergeCell ref="I38:I43"/>
    <mergeCell ref="B55:AJ55"/>
    <mergeCell ref="M44:M49"/>
    <mergeCell ref="N44:N49"/>
    <mergeCell ref="A50:A54"/>
    <mergeCell ref="B50:B54"/>
    <mergeCell ref="C50:C54"/>
    <mergeCell ref="D50:D54"/>
    <mergeCell ref="E50:E54"/>
    <mergeCell ref="F50:F54"/>
    <mergeCell ref="G50:G54"/>
    <mergeCell ref="H50:H54"/>
    <mergeCell ref="I50:I54"/>
    <mergeCell ref="J50:J54"/>
    <mergeCell ref="K50:K54"/>
    <mergeCell ref="L50:L54"/>
    <mergeCell ref="M50:M54"/>
    <mergeCell ref="N50:N54"/>
    <mergeCell ref="J44:J49"/>
    <mergeCell ref="K44:K49"/>
    <mergeCell ref="L44:L49"/>
    <mergeCell ref="A44:A49"/>
    <mergeCell ref="B44:B49"/>
    <mergeCell ref="C44:C49"/>
    <mergeCell ref="D44:D49"/>
    <mergeCell ref="C26:N26"/>
    <mergeCell ref="C27:N27"/>
    <mergeCell ref="C28:N28"/>
    <mergeCell ref="AD32:AD33"/>
    <mergeCell ref="O26:Q26"/>
    <mergeCell ref="A23:AJ24"/>
    <mergeCell ref="A29:G29"/>
    <mergeCell ref="H29:N29"/>
    <mergeCell ref="O29:W29"/>
    <mergeCell ref="X29:AD29"/>
    <mergeCell ref="AE29:AJ29"/>
    <mergeCell ref="K30:K31"/>
    <mergeCell ref="AE30:AE31"/>
    <mergeCell ref="AJ30:AJ31"/>
    <mergeCell ref="AI30:AI31"/>
    <mergeCell ref="AH30:AH31"/>
    <mergeCell ref="AG30:AG31"/>
    <mergeCell ref="AF30:AF31"/>
    <mergeCell ref="A26:B26"/>
    <mergeCell ref="A27:B27"/>
    <mergeCell ref="A28:B28"/>
    <mergeCell ref="A30:A31"/>
    <mergeCell ref="F30:F31"/>
    <mergeCell ref="E30:E31"/>
  </mergeCells>
  <conditionalFormatting sqref="H32">
    <cfRule type="cellIs" dxfId="60" priority="335" operator="equal">
      <formula>"Media"</formula>
    </cfRule>
    <cfRule type="cellIs" dxfId="59" priority="334" operator="equal">
      <formula>"Alta"</formula>
    </cfRule>
    <cfRule type="cellIs" dxfId="58" priority="333" operator="equal">
      <formula>"Muy Alta"</formula>
    </cfRule>
    <cfRule type="cellIs" dxfId="57" priority="337" operator="equal">
      <formula>"Muy Baja"</formula>
    </cfRule>
    <cfRule type="cellIs" dxfId="56" priority="336" operator="equal">
      <formula>"Baja"</formula>
    </cfRule>
  </conditionalFormatting>
  <conditionalFormatting sqref="H34:H38">
    <cfRule type="cellIs" dxfId="55" priority="99" operator="equal">
      <formula>"Muy Baja"</formula>
    </cfRule>
    <cfRule type="cellIs" dxfId="54" priority="98" operator="equal">
      <formula>"Baja"</formula>
    </cfRule>
    <cfRule type="cellIs" dxfId="53" priority="97" operator="equal">
      <formula>"Media"</formula>
    </cfRule>
    <cfRule type="cellIs" dxfId="52" priority="96" operator="equal">
      <formula>"Alta"</formula>
    </cfRule>
    <cfRule type="cellIs" dxfId="51" priority="95" operator="equal">
      <formula>"Muy Alta"</formula>
    </cfRule>
  </conditionalFormatting>
  <conditionalFormatting sqref="H44">
    <cfRule type="cellIs" dxfId="50" priority="67" operator="equal">
      <formula>"Muy Alta"</formula>
    </cfRule>
    <cfRule type="cellIs" dxfId="49" priority="71" operator="equal">
      <formula>"Muy Baja"</formula>
    </cfRule>
    <cfRule type="cellIs" dxfId="48" priority="70" operator="equal">
      <formula>"Baja"</formula>
    </cfRule>
    <cfRule type="cellIs" dxfId="47" priority="69" operator="equal">
      <formula>"Media"</formula>
    </cfRule>
    <cfRule type="cellIs" dxfId="46" priority="68" operator="equal">
      <formula>"Alta"</formula>
    </cfRule>
  </conditionalFormatting>
  <conditionalFormatting sqref="H50">
    <cfRule type="cellIs" dxfId="45" priority="41" operator="equal">
      <formula>"Media"</formula>
    </cfRule>
    <cfRule type="cellIs" dxfId="44" priority="42" operator="equal">
      <formula>"Baja"</formula>
    </cfRule>
    <cfRule type="cellIs" dxfId="43" priority="43" operator="equal">
      <formula>"Muy Baja"</formula>
    </cfRule>
    <cfRule type="cellIs" dxfId="42" priority="39" operator="equal">
      <formula>"Muy Alta"</formula>
    </cfRule>
    <cfRule type="cellIs" dxfId="41" priority="40" operator="equal">
      <formula>"Alta"</formula>
    </cfRule>
  </conditionalFormatting>
  <conditionalFormatting sqref="K32:K54">
    <cfRule type="containsText" dxfId="40" priority="15" operator="containsText" text="❌">
      <formula>NOT(ISERROR(SEARCH("❌",K32)))</formula>
    </cfRule>
  </conditionalFormatting>
  <conditionalFormatting sqref="L32">
    <cfRule type="cellIs" dxfId="39" priority="8" operator="equal">
      <formula>"Menor"</formula>
    </cfRule>
    <cfRule type="cellIs" dxfId="38" priority="7" operator="equal">
      <formula>"Moderado"</formula>
    </cfRule>
    <cfRule type="cellIs" dxfId="37" priority="9" operator="equal">
      <formula>"Leve"</formula>
    </cfRule>
    <cfRule type="cellIs" dxfId="36" priority="5" operator="equal">
      <formula>"Catastrófico"</formula>
    </cfRule>
    <cfRule type="cellIs" dxfId="35" priority="6" operator="equal">
      <formula>"Mayor"</formula>
    </cfRule>
  </conditionalFormatting>
  <conditionalFormatting sqref="L34:L38 L44 L50">
    <cfRule type="cellIs" dxfId="34" priority="328" operator="equal">
      <formula>"Catastrófico"</formula>
    </cfRule>
    <cfRule type="cellIs" dxfId="33" priority="329" operator="equal">
      <formula>"Mayor"</formula>
    </cfRule>
    <cfRule type="cellIs" dxfId="32" priority="331" operator="equal">
      <formula>"Menor"</formula>
    </cfRule>
    <cfRule type="cellIs" dxfId="31" priority="332" operator="equal">
      <formula>"Leve"</formula>
    </cfRule>
    <cfRule type="cellIs" dxfId="30" priority="330" operator="equal">
      <formula>"Moderado"</formula>
    </cfRule>
  </conditionalFormatting>
  <conditionalFormatting sqref="N32">
    <cfRule type="cellIs" dxfId="29" priority="2" operator="equal">
      <formula>"Alto"</formula>
    </cfRule>
    <cfRule type="cellIs" dxfId="28" priority="3" operator="equal">
      <formula>"Moderado"</formula>
    </cfRule>
    <cfRule type="cellIs" dxfId="27" priority="4" operator="equal">
      <formula>"Bajo"</formula>
    </cfRule>
    <cfRule type="cellIs" dxfId="26" priority="1" operator="equal">
      <formula>"Extremo"</formula>
    </cfRule>
  </conditionalFormatting>
  <conditionalFormatting sqref="N34:N38">
    <cfRule type="cellIs" dxfId="25" priority="89" operator="equal">
      <formula>"Bajo"</formula>
    </cfRule>
    <cfRule type="cellIs" dxfId="24" priority="86" operator="equal">
      <formula>"Extremo"</formula>
    </cfRule>
    <cfRule type="cellIs" dxfId="23" priority="87" operator="equal">
      <formula>"Alto"</formula>
    </cfRule>
    <cfRule type="cellIs" dxfId="22" priority="88" operator="equal">
      <formula>"Moderado"</formula>
    </cfRule>
  </conditionalFormatting>
  <conditionalFormatting sqref="N44">
    <cfRule type="cellIs" dxfId="21" priority="58" operator="equal">
      <formula>"Extremo"</formula>
    </cfRule>
    <cfRule type="cellIs" dxfId="20" priority="59" operator="equal">
      <formula>"Alto"</formula>
    </cfRule>
    <cfRule type="cellIs" dxfId="19" priority="60" operator="equal">
      <formula>"Moderado"</formula>
    </cfRule>
    <cfRule type="cellIs" dxfId="18" priority="61" operator="equal">
      <formula>"Bajo"</formula>
    </cfRule>
  </conditionalFormatting>
  <conditionalFormatting sqref="N50">
    <cfRule type="cellIs" dxfId="17" priority="33" operator="equal">
      <formula>"Bajo"</formula>
    </cfRule>
    <cfRule type="cellIs" dxfId="16" priority="32" operator="equal">
      <formula>"Moderado"</formula>
    </cfRule>
    <cfRule type="cellIs" dxfId="15" priority="30" operator="equal">
      <formula>"Extremo"</formula>
    </cfRule>
    <cfRule type="cellIs" dxfId="14" priority="31" operator="equal">
      <formula>"Alto"</formula>
    </cfRule>
  </conditionalFormatting>
  <conditionalFormatting sqref="Y32:Y54">
    <cfRule type="cellIs" dxfId="13" priority="29" operator="equal">
      <formula>"Muy Baja"</formula>
    </cfRule>
    <cfRule type="cellIs" dxfId="12" priority="28" operator="equal">
      <formula>"Baja"</formula>
    </cfRule>
    <cfRule type="cellIs" dxfId="11" priority="27" operator="equal">
      <formula>"Media"</formula>
    </cfRule>
    <cfRule type="cellIs" dxfId="10" priority="26" operator="equal">
      <formula>"Alta"</formula>
    </cfRule>
    <cfRule type="cellIs" dxfId="9" priority="25" operator="equal">
      <formula>"Muy Alta"</formula>
    </cfRule>
  </conditionalFormatting>
  <conditionalFormatting sqref="AA32:AA54">
    <cfRule type="cellIs" dxfId="8" priority="24" operator="equal">
      <formula>"Leve"</formula>
    </cfRule>
    <cfRule type="cellIs" dxfId="7" priority="23" operator="equal">
      <formula>"Menor"</formula>
    </cfRule>
    <cfRule type="cellIs" dxfId="6" priority="22" operator="equal">
      <formula>"Moderado"</formula>
    </cfRule>
    <cfRule type="cellIs" dxfId="5" priority="21" operator="equal">
      <formula>"Mayor"</formula>
    </cfRule>
    <cfRule type="cellIs" dxfId="4" priority="20" operator="equal">
      <formula>"Catastrófico"</formula>
    </cfRule>
  </conditionalFormatting>
  <conditionalFormatting sqref="AC32:AC54">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ignoredErrors>
    <ignoredError sqref="AB33"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'Opciones Tratamiento'!$B$9:$B$10</xm:f>
          </x14:formula1>
          <xm:sqref>AJ41:AJ42 AJ44:AJ45 AJ47:AJ48 AJ50:AJ51 AJ53:AJ54 AJ32:AJ39</xm:sqref>
        </x14:dataValidation>
        <x14:dataValidation type="list" allowBlank="1" showInputMessage="1" showErrorMessage="1" xr:uid="{00000000-0002-0000-0100-000006000000}">
          <x14:formula1>
            <xm:f>'Opciones Tratamiento'!$B$13:$B$19</xm:f>
          </x14:formula1>
          <xm:sqref>F44:F54</xm:sqref>
        </x14:dataValidation>
        <x14:dataValidation type="list" allowBlank="1" showInputMessage="1" showErrorMessage="1" xr:uid="{00000000-0002-0000-0100-000000000000}">
          <x14:formula1>
            <xm:f>'Tabla Valoración controles'!$D$4:$D$6</xm:f>
          </x14:formula1>
          <xm:sqref>R32:R54</xm:sqref>
        </x14:dataValidation>
        <x14:dataValidation type="list" allowBlank="1" showInputMessage="1" showErrorMessage="1" xr:uid="{00000000-0002-0000-0100-000001000000}">
          <x14:formula1>
            <xm:f>'Tabla Valoración controles'!$D$7:$D$8</xm:f>
          </x14:formula1>
          <xm:sqref>S32:S54</xm:sqref>
        </x14:dataValidation>
        <x14:dataValidation type="list" allowBlank="1" showInputMessage="1" showErrorMessage="1" xr:uid="{00000000-0002-0000-0100-000002000000}">
          <x14:formula1>
            <xm:f>'Tabla Valoración controles'!$D$9:$D$10</xm:f>
          </x14:formula1>
          <xm:sqref>U32:U54</xm:sqref>
        </x14:dataValidation>
        <x14:dataValidation type="list" allowBlank="1" showInputMessage="1" showErrorMessage="1" xr:uid="{00000000-0002-0000-0100-000003000000}">
          <x14:formula1>
            <xm:f>'Tabla Valoración controles'!$D$11:$D$12</xm:f>
          </x14:formula1>
          <xm:sqref>V32:V54</xm:sqref>
        </x14:dataValidation>
        <x14:dataValidation type="list" allowBlank="1" showInputMessage="1" showErrorMessage="1" xr:uid="{00000000-0002-0000-0100-000005000000}">
          <x14:formula1>
            <xm:f>'Tabla Valoración controles'!$D$13:$D$14</xm:f>
          </x14:formula1>
          <xm:sqref>W32:W54</xm:sqref>
        </x14:dataValidation>
        <x14:dataValidation type="list" allowBlank="1" showInputMessage="1" showErrorMessage="1" xr:uid="{00000000-0002-0000-0100-000008000000}">
          <x14:formula1>
            <xm:f>'Opciones Tratamiento'!$B$2:$B$5</xm:f>
          </x14:formula1>
          <xm:sqref>AD32 AD34:AD54</xm:sqref>
        </x14:dataValidation>
        <x14:dataValidation type="custom" allowBlank="1" showInputMessage="1" showErrorMessage="1" error="Recuerde que las acciones se generan bajo la medida de mitigar el riesgo" xr:uid="{00000000-0002-0000-0100-00000A000000}">
          <x14:formula1>
            <xm:f>IF(OR(AD32='Opciones Tratamiento'!$B$2,AD32='Opciones Tratamiento'!$B$3,AD32='Opciones Tratamiento'!$B$4),ISBLANK(AD32),ISTEXT(AD32))</xm:f>
          </x14:formula1>
          <xm:sqref>AE32 AE34:AE54</xm:sqref>
        </x14:dataValidation>
        <x14:dataValidation type="list" allowBlank="1" showInputMessage="1" showErrorMessage="1" xr:uid="{A08F2382-C520-458D-822B-27E981004C95}">
          <x14:formula1>
            <xm:f>'Impacto-clasificacion'!$A$3:$A$6</xm:f>
          </x14:formula1>
          <xm:sqref>B32:B54</xm:sqref>
        </x14:dataValidation>
        <x14:dataValidation type="list" allowBlank="1" showInputMessage="1" showErrorMessage="1" xr:uid="{5B4BFEDF-535D-4676-A2D9-BF1564B5BA44}">
          <x14:formula1>
            <xm:f>'Impacto-clasificacion'!$D$3:$D$10</xm:f>
          </x14:formula1>
          <xm:sqref>F32:F43</xm:sqref>
        </x14:dataValidation>
        <x14:dataValidation type="list" allowBlank="1" showInputMessage="1" showErrorMessage="1" xr:uid="{8DAD2BC1-1BDC-471A-A521-4F3A16793D70}">
          <x14:formula1>
            <xm:f>'Tabla Impacto'!$F$210:$F$227</xm:f>
          </x14:formula1>
          <xm:sqref>J32:J54</xm:sqref>
        </x14:dataValidation>
        <x14:dataValidation type="custom" allowBlank="1" showInputMessage="1" showErrorMessage="1" error="Recuerde que las acciones se generan bajo la medida de mitigar el riesgo" xr:uid="{00000000-0002-0000-0100-00000B000000}">
          <x14:formula1>
            <xm:f>IF(OR(AD32='Opciones Tratamiento'!$B$2,AD32='Opciones Tratamiento'!$B$3,AD32='Opciones Tratamiento'!$B$4),ISBLANK(AD32),ISTEXT(AD32))</xm:f>
          </x14:formula1>
          <xm:sqref>AF32:AF54</xm:sqref>
        </x14:dataValidation>
        <x14:dataValidation type="custom" allowBlank="1" showInputMessage="1" showErrorMessage="1" error="Recuerde que las acciones se generan bajo la medida de mitigar el riesgo" xr:uid="{00000000-0002-0000-0100-00000C000000}">
          <x14:formula1>
            <xm:f>IF(OR(AD32='Opciones Tratamiento'!$B$2,AD32='Opciones Tratamiento'!$B$3,AD32='Opciones Tratamiento'!$B$4),ISBLANK(AD32),ISTEXT(AD32))</xm:f>
          </x14:formula1>
          <xm:sqref>AG32:AG54</xm:sqref>
        </x14:dataValidation>
        <x14:dataValidation type="custom" allowBlank="1" showInputMessage="1" showErrorMessage="1" error="Recuerde que las acciones se generan bajo la medida de mitigar el riesgo" xr:uid="{00000000-0002-0000-0100-00000D000000}">
          <x14:formula1>
            <xm:f>IF(OR(AD32='Opciones Tratamiento'!$B$2,AD32='Opciones Tratamiento'!$B$3,AD32='Opciones Tratamiento'!$B$4),ISBLANK(AD32),ISTEXT(AD32))</xm:f>
          </x14:formula1>
          <xm:sqref>AH32:AH54</xm:sqref>
        </x14:dataValidation>
        <x14:dataValidation type="custom" allowBlank="1" showInputMessage="1" showErrorMessage="1" error="Recuerde que las acciones se generan bajo la medida de mitigar el riesgo" xr:uid="{00000000-0002-0000-0100-00000E000000}">
          <x14:formula1>
            <xm:f>IF(OR(AD32='Opciones Tratamiento'!$B$2,AD32='Opciones Tratamiento'!$B$3,AD32='Opciones Tratamiento'!$B$4),ISBLANK(AD32),ISTEXT(AD32))</xm:f>
          </x14:formula1>
          <xm:sqref>AI32:AI54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60AC-28F7-489F-8FA7-03900777C28F}">
  <dimension ref="A2:D10"/>
  <sheetViews>
    <sheetView workbookViewId="0">
      <selection activeCell="E12" sqref="E12"/>
    </sheetView>
  </sheetViews>
  <sheetFormatPr baseColWidth="10" defaultColWidth="11.42578125" defaultRowHeight="15" x14ac:dyDescent="0.25"/>
  <sheetData>
    <row r="2" spans="1:4" x14ac:dyDescent="0.25">
      <c r="A2" t="s">
        <v>15</v>
      </c>
    </row>
    <row r="3" spans="1:4" x14ac:dyDescent="0.25">
      <c r="A3" t="s">
        <v>172</v>
      </c>
      <c r="D3" t="s">
        <v>173</v>
      </c>
    </row>
    <row r="4" spans="1:4" x14ac:dyDescent="0.25">
      <c r="A4" t="s">
        <v>137</v>
      </c>
      <c r="D4" t="s">
        <v>141</v>
      </c>
    </row>
    <row r="5" spans="1:4" x14ac:dyDescent="0.25">
      <c r="A5" t="s">
        <v>174</v>
      </c>
      <c r="D5" t="s">
        <v>175</v>
      </c>
    </row>
    <row r="6" spans="1:4" x14ac:dyDescent="0.25">
      <c r="A6" t="s">
        <v>176</v>
      </c>
      <c r="D6" t="s">
        <v>177</v>
      </c>
    </row>
    <row r="7" spans="1:4" x14ac:dyDescent="0.25">
      <c r="D7" t="s">
        <v>178</v>
      </c>
    </row>
    <row r="8" spans="1:4" x14ac:dyDescent="0.25">
      <c r="D8" t="s">
        <v>179</v>
      </c>
    </row>
    <row r="9" spans="1:4" x14ac:dyDescent="0.25">
      <c r="D9" t="s">
        <v>180</v>
      </c>
    </row>
    <row r="10" spans="1:4" x14ac:dyDescent="0.25">
      <c r="D10"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39" t="s">
        <v>182</v>
      </c>
      <c r="C2" s="439"/>
      <c r="D2" s="439"/>
      <c r="E2" s="439"/>
      <c r="F2" s="439"/>
      <c r="G2" s="439"/>
      <c r="H2" s="439"/>
      <c r="I2" s="439"/>
      <c r="J2" s="407" t="s">
        <v>15</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39"/>
      <c r="C3" s="439"/>
      <c r="D3" s="439"/>
      <c r="E3" s="439"/>
      <c r="F3" s="439"/>
      <c r="G3" s="439"/>
      <c r="H3" s="439"/>
      <c r="I3" s="439"/>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39"/>
      <c r="C4" s="439"/>
      <c r="D4" s="439"/>
      <c r="E4" s="439"/>
      <c r="F4" s="439"/>
      <c r="G4" s="439"/>
      <c r="H4" s="439"/>
      <c r="I4" s="439"/>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354" t="s">
        <v>183</v>
      </c>
      <c r="C6" s="354"/>
      <c r="D6" s="355"/>
      <c r="E6" s="392" t="s">
        <v>184</v>
      </c>
      <c r="F6" s="393"/>
      <c r="G6" s="393"/>
      <c r="H6" s="393"/>
      <c r="I6" s="394"/>
      <c r="J6" s="403" t="str">
        <f>IF(AND('Mapa final'!$H$32="Muy Alta",'Mapa final'!$L$32="Leve"),CONCATENATE("R",'Mapa final'!$A$32),"")</f>
        <v/>
      </c>
      <c r="K6" s="404"/>
      <c r="L6" s="404" t="str">
        <f>IF(AND('Mapa final'!$H$34="Muy Alta",'Mapa final'!$L$34="Leve"),CONCATENATE("R",'Mapa final'!$A$34),"")</f>
        <v/>
      </c>
      <c r="M6" s="404"/>
      <c r="N6" s="404" t="str">
        <f>IF(AND('Mapa final'!$H$35="Muy Alta",'Mapa final'!$L$35="Leve"),CONCATENATE("R",'Mapa final'!$A$35),"")</f>
        <v/>
      </c>
      <c r="O6" s="406"/>
      <c r="P6" s="403" t="str">
        <f>IF(AND('Mapa final'!$H$32="Muy Alta",'Mapa final'!$L$32="Menor"),CONCATENATE("R",'Mapa final'!$A$32),"")</f>
        <v/>
      </c>
      <c r="Q6" s="404"/>
      <c r="R6" s="404" t="str">
        <f>IF(AND('Mapa final'!$H$34="Muy Alta",'Mapa final'!$L$34="Menor"),CONCATENATE("R",'Mapa final'!$A$34),"")</f>
        <v/>
      </c>
      <c r="S6" s="404"/>
      <c r="T6" s="404" t="str">
        <f>IF(AND('Mapa final'!$H$35="Muy Alta",'Mapa final'!$L$35="Menor"),CONCATENATE("R",'Mapa final'!$A$35),"")</f>
        <v/>
      </c>
      <c r="U6" s="406"/>
      <c r="V6" s="403" t="str">
        <f>IF(AND('Mapa final'!$H$32="Muy Alta",'Mapa final'!$L$32="Moderado"),CONCATENATE("R",'Mapa final'!$A$32),"")</f>
        <v/>
      </c>
      <c r="W6" s="404"/>
      <c r="X6" s="404" t="str">
        <f>IF(AND('Mapa final'!$H$34="Muy Alta",'Mapa final'!$L$34="Moderado"),CONCATENATE("R",'Mapa final'!$A$34),"")</f>
        <v/>
      </c>
      <c r="Y6" s="404"/>
      <c r="Z6" s="404" t="str">
        <f>IF(AND('Mapa final'!$H$35="Muy Alta",'Mapa final'!$L$35="Moderado"),CONCATENATE("R",'Mapa final'!$A$35),"")</f>
        <v/>
      </c>
      <c r="AA6" s="406"/>
      <c r="AB6" s="403" t="str">
        <f>IF(AND('Mapa final'!$H$32="Muy Alta",'Mapa final'!$L$32="Mayor"),CONCATENATE("R",'Mapa final'!$A$32),"")</f>
        <v/>
      </c>
      <c r="AC6" s="404"/>
      <c r="AD6" s="404" t="str">
        <f>IF(AND('Mapa final'!$H$34="Muy Alta",'Mapa final'!$L$34="Mayor"),CONCATENATE("R",'Mapa final'!$A$34),"")</f>
        <v/>
      </c>
      <c r="AE6" s="404"/>
      <c r="AF6" s="404" t="str">
        <f>IF(AND('Mapa final'!$H$35="Muy Alta",'Mapa final'!$L$35="Mayor"),CONCATENATE("R",'Mapa final'!$A$35),"")</f>
        <v/>
      </c>
      <c r="AG6" s="406"/>
      <c r="AH6" s="418" t="str">
        <f>IF(AND('Mapa final'!$H$32="Muy Alta",'Mapa final'!$L$32="Catastrófico"),CONCATENATE("R",'Mapa final'!$A$32),"")</f>
        <v/>
      </c>
      <c r="AI6" s="419"/>
      <c r="AJ6" s="419" t="str">
        <f>IF(AND('Mapa final'!$H$34="Muy Alta",'Mapa final'!$L$34="Catastrófico"),CONCATENATE("R",'Mapa final'!$A$34),"")</f>
        <v/>
      </c>
      <c r="AK6" s="419"/>
      <c r="AL6" s="419" t="str">
        <f>IF(AND('Mapa final'!$H$35="Muy Alta",'Mapa final'!$L$35="Catastrófico"),CONCATENATE("R",'Mapa final'!$A$35),"")</f>
        <v/>
      </c>
      <c r="AM6" s="420"/>
      <c r="AO6" s="356" t="s">
        <v>185</v>
      </c>
      <c r="AP6" s="357"/>
      <c r="AQ6" s="357"/>
      <c r="AR6" s="357"/>
      <c r="AS6" s="357"/>
      <c r="AT6" s="358"/>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354"/>
      <c r="C7" s="354"/>
      <c r="D7" s="355"/>
      <c r="E7" s="395"/>
      <c r="F7" s="396"/>
      <c r="G7" s="396"/>
      <c r="H7" s="396"/>
      <c r="I7" s="397"/>
      <c r="J7" s="405"/>
      <c r="K7" s="401"/>
      <c r="L7" s="401"/>
      <c r="M7" s="401"/>
      <c r="N7" s="401"/>
      <c r="O7" s="402"/>
      <c r="P7" s="405"/>
      <c r="Q7" s="401"/>
      <c r="R7" s="401"/>
      <c r="S7" s="401"/>
      <c r="T7" s="401"/>
      <c r="U7" s="402"/>
      <c r="V7" s="405"/>
      <c r="W7" s="401"/>
      <c r="X7" s="401"/>
      <c r="Y7" s="401"/>
      <c r="Z7" s="401"/>
      <c r="AA7" s="402"/>
      <c r="AB7" s="405"/>
      <c r="AC7" s="401"/>
      <c r="AD7" s="401"/>
      <c r="AE7" s="401"/>
      <c r="AF7" s="401"/>
      <c r="AG7" s="402"/>
      <c r="AH7" s="412"/>
      <c r="AI7" s="413"/>
      <c r="AJ7" s="413"/>
      <c r="AK7" s="413"/>
      <c r="AL7" s="413"/>
      <c r="AM7" s="414"/>
      <c r="AN7" s="81"/>
      <c r="AO7" s="359"/>
      <c r="AP7" s="360"/>
      <c r="AQ7" s="360"/>
      <c r="AR7" s="360"/>
      <c r="AS7" s="360"/>
      <c r="AT7" s="36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354"/>
      <c r="C8" s="354"/>
      <c r="D8" s="355"/>
      <c r="E8" s="395"/>
      <c r="F8" s="396"/>
      <c r="G8" s="396"/>
      <c r="H8" s="396"/>
      <c r="I8" s="397"/>
      <c r="J8" s="405" t="str">
        <f>IF(AND('Mapa final'!$H$36="Muy Alta",'Mapa final'!$L$36="Leve"),CONCATENATE("R",'Mapa final'!$A$36),"")</f>
        <v/>
      </c>
      <c r="K8" s="401"/>
      <c r="L8" s="401" t="str">
        <f>IF(AND('Mapa final'!$H$37="Muy Alta",'Mapa final'!$L$37="Leve"),CONCATENATE("R",'Mapa final'!$A$37),"")</f>
        <v/>
      </c>
      <c r="M8" s="401"/>
      <c r="N8" s="401" t="e">
        <f>IF(AND('Mapa final'!#REF!="Muy Alta",'Mapa final'!#REF!="Leve"),CONCATENATE("R",'Mapa final'!#REF!),"")</f>
        <v>#REF!</v>
      </c>
      <c r="O8" s="402"/>
      <c r="P8" s="405" t="str">
        <f>IF(AND('Mapa final'!$H$36="Muy Alta",'Mapa final'!$L$36="Menor"),CONCATENATE("R",'Mapa final'!$A$36),"")</f>
        <v/>
      </c>
      <c r="Q8" s="401"/>
      <c r="R8" s="401" t="str">
        <f>IF(AND('Mapa final'!$H$37="Muy Alta",'Mapa final'!$L$37="Menor"),CONCATENATE("R",'Mapa final'!$A$37),"")</f>
        <v/>
      </c>
      <c r="S8" s="401"/>
      <c r="T8" s="401" t="e">
        <f>IF(AND('Mapa final'!#REF!="Muy Alta",'Mapa final'!#REF!="Menor"),CONCATENATE("R",'Mapa final'!#REF!),"")</f>
        <v>#REF!</v>
      </c>
      <c r="U8" s="402"/>
      <c r="V8" s="405" t="str">
        <f>IF(AND('Mapa final'!$H$36="Muy Alta",'Mapa final'!$L$36="Moderado"),CONCATENATE("R",'Mapa final'!$A$36),"")</f>
        <v/>
      </c>
      <c r="W8" s="401"/>
      <c r="X8" s="401" t="str">
        <f>IF(AND('Mapa final'!$H$37="Muy Alta",'Mapa final'!$L$37="Moderado"),CONCATENATE("R",'Mapa final'!$A$37),"")</f>
        <v/>
      </c>
      <c r="Y8" s="401"/>
      <c r="Z8" s="401" t="e">
        <f>IF(AND('Mapa final'!#REF!="Muy Alta",'Mapa final'!#REF!="Moderado"),CONCATENATE("R",'Mapa final'!#REF!),"")</f>
        <v>#REF!</v>
      </c>
      <c r="AA8" s="402"/>
      <c r="AB8" s="405" t="str">
        <f>IF(AND('Mapa final'!$H$36="Muy Alta",'Mapa final'!$L$36="Mayor"),CONCATENATE("R",'Mapa final'!$A$36),"")</f>
        <v/>
      </c>
      <c r="AC8" s="401"/>
      <c r="AD8" s="401" t="str">
        <f>IF(AND('Mapa final'!$H$37="Muy Alta",'Mapa final'!$L$37="Mayor"),CONCATENATE("R",'Mapa final'!$A$37),"")</f>
        <v/>
      </c>
      <c r="AE8" s="401"/>
      <c r="AF8" s="401" t="e">
        <f>IF(AND('Mapa final'!#REF!="Muy Alta",'Mapa final'!#REF!="Mayor"),CONCATENATE("R",'Mapa final'!#REF!),"")</f>
        <v>#REF!</v>
      </c>
      <c r="AG8" s="402"/>
      <c r="AH8" s="412" t="str">
        <f>IF(AND('Mapa final'!$H$36="Muy Alta",'Mapa final'!$L$36="Catastrófico"),CONCATENATE("R",'Mapa final'!$A$36),"")</f>
        <v/>
      </c>
      <c r="AI8" s="413"/>
      <c r="AJ8" s="413" t="str">
        <f>IF(AND('Mapa final'!$H$37="Muy Alta",'Mapa final'!$L$37="Catastrófico"),CONCATENATE("R",'Mapa final'!$A$37),"")</f>
        <v/>
      </c>
      <c r="AK8" s="413"/>
      <c r="AL8" s="413" t="e">
        <f>IF(AND('Mapa final'!#REF!="Muy Alta",'Mapa final'!#REF!="Catastrófico"),CONCATENATE("R",'Mapa final'!#REF!),"")</f>
        <v>#REF!</v>
      </c>
      <c r="AM8" s="414"/>
      <c r="AN8" s="81"/>
      <c r="AO8" s="359"/>
      <c r="AP8" s="360"/>
      <c r="AQ8" s="360"/>
      <c r="AR8" s="360"/>
      <c r="AS8" s="360"/>
      <c r="AT8" s="36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354"/>
      <c r="C9" s="354"/>
      <c r="D9" s="355"/>
      <c r="E9" s="395"/>
      <c r="F9" s="396"/>
      <c r="G9" s="396"/>
      <c r="H9" s="396"/>
      <c r="I9" s="397"/>
      <c r="J9" s="405"/>
      <c r="K9" s="401"/>
      <c r="L9" s="401"/>
      <c r="M9" s="401"/>
      <c r="N9" s="401"/>
      <c r="O9" s="402"/>
      <c r="P9" s="405"/>
      <c r="Q9" s="401"/>
      <c r="R9" s="401"/>
      <c r="S9" s="401"/>
      <c r="T9" s="401"/>
      <c r="U9" s="402"/>
      <c r="V9" s="405"/>
      <c r="W9" s="401"/>
      <c r="X9" s="401"/>
      <c r="Y9" s="401"/>
      <c r="Z9" s="401"/>
      <c r="AA9" s="402"/>
      <c r="AB9" s="405"/>
      <c r="AC9" s="401"/>
      <c r="AD9" s="401"/>
      <c r="AE9" s="401"/>
      <c r="AF9" s="401"/>
      <c r="AG9" s="402"/>
      <c r="AH9" s="412"/>
      <c r="AI9" s="413"/>
      <c r="AJ9" s="413"/>
      <c r="AK9" s="413"/>
      <c r="AL9" s="413"/>
      <c r="AM9" s="414"/>
      <c r="AN9" s="81"/>
      <c r="AO9" s="359"/>
      <c r="AP9" s="360"/>
      <c r="AQ9" s="360"/>
      <c r="AR9" s="360"/>
      <c r="AS9" s="360"/>
      <c r="AT9" s="36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354"/>
      <c r="C10" s="354"/>
      <c r="D10" s="355"/>
      <c r="E10" s="395"/>
      <c r="F10" s="396"/>
      <c r="G10" s="396"/>
      <c r="H10" s="396"/>
      <c r="I10" s="397"/>
      <c r="J10" s="405" t="e">
        <f>IF(AND('Mapa final'!#REF!="Muy Alta",'Mapa final'!#REF!="Leve"),CONCATENATE("R",'Mapa final'!#REF!),"")</f>
        <v>#REF!</v>
      </c>
      <c r="K10" s="401"/>
      <c r="L10" s="401" t="str">
        <f>IF(AND('Mapa final'!$H$38="Muy Alta",'Mapa final'!$L$38="Leve"),CONCATENATE("R",'Mapa final'!$A$38),"")</f>
        <v/>
      </c>
      <c r="M10" s="401"/>
      <c r="N10" s="401" t="str">
        <f>IF(AND('Mapa final'!$H$44="Muy Alta",'Mapa final'!$L$44="Leve"),CONCATENATE("R",'Mapa final'!$A$44),"")</f>
        <v/>
      </c>
      <c r="O10" s="402"/>
      <c r="P10" s="405" t="e">
        <f>IF(AND('Mapa final'!#REF!="Muy Alta",'Mapa final'!#REF!="Menor"),CONCATENATE("R",'Mapa final'!#REF!),"")</f>
        <v>#REF!</v>
      </c>
      <c r="Q10" s="401"/>
      <c r="R10" s="401" t="str">
        <f>IF(AND('Mapa final'!$H$38="Muy Alta",'Mapa final'!$L$38="Menor"),CONCATENATE("R",'Mapa final'!$A$38),"")</f>
        <v/>
      </c>
      <c r="S10" s="401"/>
      <c r="T10" s="401" t="str">
        <f>IF(AND('Mapa final'!$H$44="Muy Alta",'Mapa final'!$L$44="Menor"),CONCATENATE("R",'Mapa final'!$A$44),"")</f>
        <v/>
      </c>
      <c r="U10" s="402"/>
      <c r="V10" s="405" t="e">
        <f>IF(AND('Mapa final'!#REF!="Muy Alta",'Mapa final'!#REF!="Moderado"),CONCATENATE("R",'Mapa final'!#REF!),"")</f>
        <v>#REF!</v>
      </c>
      <c r="W10" s="401"/>
      <c r="X10" s="401" t="str">
        <f>IF(AND('Mapa final'!$H$38="Muy Alta",'Mapa final'!$L$38="Moderado"),CONCATENATE("R",'Mapa final'!$A$38),"")</f>
        <v/>
      </c>
      <c r="Y10" s="401"/>
      <c r="Z10" s="401" t="str">
        <f>IF(AND('Mapa final'!$H$44="Muy Alta",'Mapa final'!$L$44="Moderado"),CONCATENATE("R",'Mapa final'!$A$44),"")</f>
        <v/>
      </c>
      <c r="AA10" s="402"/>
      <c r="AB10" s="405" t="e">
        <f>IF(AND('Mapa final'!#REF!="Muy Alta",'Mapa final'!#REF!="Mayor"),CONCATENATE("R",'Mapa final'!#REF!),"")</f>
        <v>#REF!</v>
      </c>
      <c r="AC10" s="401"/>
      <c r="AD10" s="401" t="str">
        <f>IF(AND('Mapa final'!$H$38="Muy Alta",'Mapa final'!$L$38="Mayor"),CONCATENATE("R",'Mapa final'!$A$38),"")</f>
        <v/>
      </c>
      <c r="AE10" s="401"/>
      <c r="AF10" s="401" t="str">
        <f>IF(AND('Mapa final'!$H$44="Muy Alta",'Mapa final'!$L$44="Mayor"),CONCATENATE("R",'Mapa final'!$A$44),"")</f>
        <v/>
      </c>
      <c r="AG10" s="402"/>
      <c r="AH10" s="412" t="e">
        <f>IF(AND('Mapa final'!#REF!="Muy Alta",'Mapa final'!#REF!="Catastrófico"),CONCATENATE("R",'Mapa final'!#REF!),"")</f>
        <v>#REF!</v>
      </c>
      <c r="AI10" s="413"/>
      <c r="AJ10" s="413" t="str">
        <f>IF(AND('Mapa final'!$H$38="Muy Alta",'Mapa final'!$L$38="Catastrófico"),CONCATENATE("R",'Mapa final'!$A$38),"")</f>
        <v/>
      </c>
      <c r="AK10" s="413"/>
      <c r="AL10" s="413" t="str">
        <f>IF(AND('Mapa final'!$H$44="Muy Alta",'Mapa final'!$L$44="Catastrófico"),CONCATENATE("R",'Mapa final'!$A$44),"")</f>
        <v/>
      </c>
      <c r="AM10" s="414"/>
      <c r="AN10" s="81"/>
      <c r="AO10" s="359"/>
      <c r="AP10" s="360"/>
      <c r="AQ10" s="360"/>
      <c r="AR10" s="360"/>
      <c r="AS10" s="360"/>
      <c r="AT10" s="36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354"/>
      <c r="C11" s="354"/>
      <c r="D11" s="355"/>
      <c r="E11" s="395"/>
      <c r="F11" s="396"/>
      <c r="G11" s="396"/>
      <c r="H11" s="396"/>
      <c r="I11" s="397"/>
      <c r="J11" s="405"/>
      <c r="K11" s="401"/>
      <c r="L11" s="401"/>
      <c r="M11" s="401"/>
      <c r="N11" s="401"/>
      <c r="O11" s="402"/>
      <c r="P11" s="405"/>
      <c r="Q11" s="401"/>
      <c r="R11" s="401"/>
      <c r="S11" s="401"/>
      <c r="T11" s="401"/>
      <c r="U11" s="402"/>
      <c r="V11" s="405"/>
      <c r="W11" s="401"/>
      <c r="X11" s="401"/>
      <c r="Y11" s="401"/>
      <c r="Z11" s="401"/>
      <c r="AA11" s="402"/>
      <c r="AB11" s="405"/>
      <c r="AC11" s="401"/>
      <c r="AD11" s="401"/>
      <c r="AE11" s="401"/>
      <c r="AF11" s="401"/>
      <c r="AG11" s="402"/>
      <c r="AH11" s="412"/>
      <c r="AI11" s="413"/>
      <c r="AJ11" s="413"/>
      <c r="AK11" s="413"/>
      <c r="AL11" s="413"/>
      <c r="AM11" s="414"/>
      <c r="AN11" s="81"/>
      <c r="AO11" s="359"/>
      <c r="AP11" s="360"/>
      <c r="AQ11" s="360"/>
      <c r="AR11" s="360"/>
      <c r="AS11" s="360"/>
      <c r="AT11" s="36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354"/>
      <c r="C12" s="354"/>
      <c r="D12" s="355"/>
      <c r="E12" s="395"/>
      <c r="F12" s="396"/>
      <c r="G12" s="396"/>
      <c r="H12" s="396"/>
      <c r="I12" s="397"/>
      <c r="J12" s="405" t="str">
        <f>IF(AND('Mapa final'!$H$50="Muy Alta",'Mapa final'!$L$50="Leve"),CONCATENATE("R",'Mapa final'!$A$50),"")</f>
        <v/>
      </c>
      <c r="K12" s="401"/>
      <c r="L12" s="401" t="str">
        <f>IF(AND('Mapa final'!$H$55="Muy Alta",'Mapa final'!$L$55="Leve"),CONCATENATE("R",'Mapa final'!$A$55),"")</f>
        <v/>
      </c>
      <c r="M12" s="401"/>
      <c r="N12" s="401" t="str">
        <f>IF(AND('Mapa final'!$H$61="Muy Alta",'Mapa final'!$L$61="Leve"),CONCATENATE("R",'Mapa final'!$A$61),"")</f>
        <v/>
      </c>
      <c r="O12" s="402"/>
      <c r="P12" s="405" t="str">
        <f>IF(AND('Mapa final'!$H$50="Muy Alta",'Mapa final'!$L$50="Menor"),CONCATENATE("R",'Mapa final'!$A$50),"")</f>
        <v/>
      </c>
      <c r="Q12" s="401"/>
      <c r="R12" s="401" t="str">
        <f>IF(AND('Mapa final'!$H$55="Muy Alta",'Mapa final'!$L$55="Menor"),CONCATENATE("R",'Mapa final'!$A$55),"")</f>
        <v/>
      </c>
      <c r="S12" s="401"/>
      <c r="T12" s="401" t="str">
        <f>IF(AND('Mapa final'!$H$61="Muy Alta",'Mapa final'!$L$61="Menor"),CONCATENATE("R",'Mapa final'!$A$61),"")</f>
        <v/>
      </c>
      <c r="U12" s="402"/>
      <c r="V12" s="405" t="str">
        <f>IF(AND('Mapa final'!$H$50="Muy Alta",'Mapa final'!$L$50="Moderado"),CONCATENATE("R",'Mapa final'!$A$50),"")</f>
        <v/>
      </c>
      <c r="W12" s="401"/>
      <c r="X12" s="401" t="str">
        <f>IF(AND('Mapa final'!$H$55="Muy Alta",'Mapa final'!$L$55="Moderado"),CONCATENATE("R",'Mapa final'!$A$55),"")</f>
        <v/>
      </c>
      <c r="Y12" s="401"/>
      <c r="Z12" s="401" t="str">
        <f>IF(AND('Mapa final'!$H$61="Muy Alta",'Mapa final'!$L$61="Moderado"),CONCATENATE("R",'Mapa final'!$A$61),"")</f>
        <v/>
      </c>
      <c r="AA12" s="402"/>
      <c r="AB12" s="405" t="str">
        <f>IF(AND('Mapa final'!$H$50="Muy Alta",'Mapa final'!$L$50="Mayor"),CONCATENATE("R",'Mapa final'!$A$50),"")</f>
        <v/>
      </c>
      <c r="AC12" s="401"/>
      <c r="AD12" s="401" t="str">
        <f>IF(AND('Mapa final'!$H$55="Muy Alta",'Mapa final'!$L$55="Mayor"),CONCATENATE("R",'Mapa final'!$A$55),"")</f>
        <v/>
      </c>
      <c r="AE12" s="401"/>
      <c r="AF12" s="401" t="str">
        <f>IF(AND('Mapa final'!$H$61="Muy Alta",'Mapa final'!$L$61="Mayor"),CONCATENATE("R",'Mapa final'!$A$61),"")</f>
        <v/>
      </c>
      <c r="AG12" s="402"/>
      <c r="AH12" s="412" t="str">
        <f>IF(AND('Mapa final'!$H$50="Muy Alta",'Mapa final'!$L$50="Catastrófico"),CONCATENATE("R",'Mapa final'!$A$50),"")</f>
        <v/>
      </c>
      <c r="AI12" s="413"/>
      <c r="AJ12" s="413" t="str">
        <f>IF(AND('Mapa final'!$H$55="Muy Alta",'Mapa final'!$L$55="Catastrófico"),CONCATENATE("R",'Mapa final'!$A$55),"")</f>
        <v/>
      </c>
      <c r="AK12" s="413"/>
      <c r="AL12" s="413" t="str">
        <f>IF(AND('Mapa final'!$H$61="Muy Alta",'Mapa final'!$L$61="Catastrófico"),CONCATENATE("R",'Mapa final'!$A$61),"")</f>
        <v/>
      </c>
      <c r="AM12" s="414"/>
      <c r="AN12" s="81"/>
      <c r="AO12" s="359"/>
      <c r="AP12" s="360"/>
      <c r="AQ12" s="360"/>
      <c r="AR12" s="360"/>
      <c r="AS12" s="360"/>
      <c r="AT12" s="36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354"/>
      <c r="C13" s="354"/>
      <c r="D13" s="355"/>
      <c r="E13" s="398"/>
      <c r="F13" s="399"/>
      <c r="G13" s="399"/>
      <c r="H13" s="399"/>
      <c r="I13" s="400"/>
      <c r="J13" s="405"/>
      <c r="K13" s="401"/>
      <c r="L13" s="401"/>
      <c r="M13" s="401"/>
      <c r="N13" s="401"/>
      <c r="O13" s="402"/>
      <c r="P13" s="405"/>
      <c r="Q13" s="401"/>
      <c r="R13" s="401"/>
      <c r="S13" s="401"/>
      <c r="T13" s="401"/>
      <c r="U13" s="402"/>
      <c r="V13" s="405"/>
      <c r="W13" s="401"/>
      <c r="X13" s="401"/>
      <c r="Y13" s="401"/>
      <c r="Z13" s="401"/>
      <c r="AA13" s="402"/>
      <c r="AB13" s="405"/>
      <c r="AC13" s="401"/>
      <c r="AD13" s="401"/>
      <c r="AE13" s="401"/>
      <c r="AF13" s="401"/>
      <c r="AG13" s="402"/>
      <c r="AH13" s="415"/>
      <c r="AI13" s="416"/>
      <c r="AJ13" s="416"/>
      <c r="AK13" s="416"/>
      <c r="AL13" s="416"/>
      <c r="AM13" s="417"/>
      <c r="AN13" s="81"/>
      <c r="AO13" s="362"/>
      <c r="AP13" s="363"/>
      <c r="AQ13" s="363"/>
      <c r="AR13" s="363"/>
      <c r="AS13" s="363"/>
      <c r="AT13" s="364"/>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354"/>
      <c r="C14" s="354"/>
      <c r="D14" s="355"/>
      <c r="E14" s="392" t="s">
        <v>186</v>
      </c>
      <c r="F14" s="393"/>
      <c r="G14" s="393"/>
      <c r="H14" s="393"/>
      <c r="I14" s="393"/>
      <c r="J14" s="427" t="str">
        <f>IF(AND('Mapa final'!$H$32="Alta",'Mapa final'!$L$32="Leve"),CONCATENATE("R",'Mapa final'!$A$32),"")</f>
        <v/>
      </c>
      <c r="K14" s="428"/>
      <c r="L14" s="428" t="str">
        <f>IF(AND('Mapa final'!$H$34="Alta",'Mapa final'!$L$34="Leve"),CONCATENATE("R",'Mapa final'!$A$34),"")</f>
        <v/>
      </c>
      <c r="M14" s="428"/>
      <c r="N14" s="428" t="str">
        <f>IF(AND('Mapa final'!$H$35="Alta",'Mapa final'!$L$35="Leve"),CONCATENATE("R",'Mapa final'!$A$35),"")</f>
        <v/>
      </c>
      <c r="O14" s="429"/>
      <c r="P14" s="427" t="str">
        <f>IF(AND('Mapa final'!$H$32="Alta",'Mapa final'!$L$32="Menor"),CONCATENATE("R",'Mapa final'!$A$32),"")</f>
        <v/>
      </c>
      <c r="Q14" s="428"/>
      <c r="R14" s="428" t="str">
        <f>IF(AND('Mapa final'!$H$34="Alta",'Mapa final'!$L$34="Menor"),CONCATENATE("R",'Mapa final'!$A$34),"")</f>
        <v/>
      </c>
      <c r="S14" s="428"/>
      <c r="T14" s="428" t="str">
        <f>IF(AND('Mapa final'!$H$35="Alta",'Mapa final'!$L$35="Menor"),CONCATENATE("R",'Mapa final'!$A$35),"")</f>
        <v/>
      </c>
      <c r="U14" s="429"/>
      <c r="V14" s="403" t="str">
        <f>IF(AND('Mapa final'!$H$32="Alta",'Mapa final'!$L$32="Moderado"),CONCATENATE("R",'Mapa final'!$A$32),"")</f>
        <v/>
      </c>
      <c r="W14" s="404"/>
      <c r="X14" s="404" t="str">
        <f>IF(AND('Mapa final'!$H$34="Alta",'Mapa final'!$L$34="Moderado"),CONCATENATE("R",'Mapa final'!$A$34),"")</f>
        <v/>
      </c>
      <c r="Y14" s="404"/>
      <c r="Z14" s="404" t="str">
        <f>IF(AND('Mapa final'!$H$35="Alta",'Mapa final'!$L$35="Moderado"),CONCATENATE("R",'Mapa final'!$A$35),"")</f>
        <v/>
      </c>
      <c r="AA14" s="406"/>
      <c r="AB14" s="403" t="str">
        <f>IF(AND('Mapa final'!$H$32="Alta",'Mapa final'!$L$32="Mayor"),CONCATENATE("R",'Mapa final'!$A$32),"")</f>
        <v/>
      </c>
      <c r="AC14" s="404"/>
      <c r="AD14" s="404" t="str">
        <f>IF(AND('Mapa final'!$H$34="Alta",'Mapa final'!$L$34="Mayor"),CONCATENATE("R",'Mapa final'!$A$34),"")</f>
        <v/>
      </c>
      <c r="AE14" s="404"/>
      <c r="AF14" s="404" t="str">
        <f>IF(AND('Mapa final'!$H$35="Alta",'Mapa final'!$L$35="Mayor"),CONCATENATE("R",'Mapa final'!$A$35),"")</f>
        <v/>
      </c>
      <c r="AG14" s="406"/>
      <c r="AH14" s="418" t="str">
        <f>IF(AND('Mapa final'!$H$32="Alta",'Mapa final'!$L$32="Catastrófico"),CONCATENATE("R",'Mapa final'!$A$32),"")</f>
        <v/>
      </c>
      <c r="AI14" s="419"/>
      <c r="AJ14" s="419" t="str">
        <f>IF(AND('Mapa final'!$H$34="Alta",'Mapa final'!$L$34="Catastrófico"),CONCATENATE("R",'Mapa final'!$A$34),"")</f>
        <v/>
      </c>
      <c r="AK14" s="419"/>
      <c r="AL14" s="419" t="str">
        <f>IF(AND('Mapa final'!$H$35="Alta",'Mapa final'!$L$35="Catastrófico"),CONCATENATE("R",'Mapa final'!$A$35),"")</f>
        <v/>
      </c>
      <c r="AM14" s="420"/>
      <c r="AN14" s="81"/>
      <c r="AO14" s="365" t="s">
        <v>187</v>
      </c>
      <c r="AP14" s="366"/>
      <c r="AQ14" s="366"/>
      <c r="AR14" s="366"/>
      <c r="AS14" s="366"/>
      <c r="AT14" s="367"/>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354"/>
      <c r="C15" s="354"/>
      <c r="D15" s="355"/>
      <c r="E15" s="395"/>
      <c r="F15" s="396"/>
      <c r="G15" s="396"/>
      <c r="H15" s="396"/>
      <c r="I15" s="396"/>
      <c r="J15" s="421"/>
      <c r="K15" s="422"/>
      <c r="L15" s="422"/>
      <c r="M15" s="422"/>
      <c r="N15" s="422"/>
      <c r="O15" s="423"/>
      <c r="P15" s="421"/>
      <c r="Q15" s="422"/>
      <c r="R15" s="422"/>
      <c r="S15" s="422"/>
      <c r="T15" s="422"/>
      <c r="U15" s="423"/>
      <c r="V15" s="405"/>
      <c r="W15" s="401"/>
      <c r="X15" s="401"/>
      <c r="Y15" s="401"/>
      <c r="Z15" s="401"/>
      <c r="AA15" s="402"/>
      <c r="AB15" s="405"/>
      <c r="AC15" s="401"/>
      <c r="AD15" s="401"/>
      <c r="AE15" s="401"/>
      <c r="AF15" s="401"/>
      <c r="AG15" s="402"/>
      <c r="AH15" s="412"/>
      <c r="AI15" s="413"/>
      <c r="AJ15" s="413"/>
      <c r="AK15" s="413"/>
      <c r="AL15" s="413"/>
      <c r="AM15" s="414"/>
      <c r="AN15" s="81"/>
      <c r="AO15" s="368"/>
      <c r="AP15" s="369"/>
      <c r="AQ15" s="369"/>
      <c r="AR15" s="369"/>
      <c r="AS15" s="369"/>
      <c r="AT15" s="370"/>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354"/>
      <c r="C16" s="354"/>
      <c r="D16" s="355"/>
      <c r="E16" s="395"/>
      <c r="F16" s="396"/>
      <c r="G16" s="396"/>
      <c r="H16" s="396"/>
      <c r="I16" s="396"/>
      <c r="J16" s="421" t="str">
        <f>IF(AND('Mapa final'!$H$36="Alta",'Mapa final'!$L$36="Leve"),CONCATENATE("R",'Mapa final'!$A$36),"")</f>
        <v/>
      </c>
      <c r="K16" s="422"/>
      <c r="L16" s="422" t="str">
        <f>IF(AND('Mapa final'!$H$37="Alta",'Mapa final'!$L$37="Leve"),CONCATENATE("R",'Mapa final'!$A$37),"")</f>
        <v/>
      </c>
      <c r="M16" s="422"/>
      <c r="N16" s="422" t="e">
        <f>IF(AND('Mapa final'!#REF!="Alta",'Mapa final'!#REF!="Leve"),CONCATENATE("R",'Mapa final'!#REF!),"")</f>
        <v>#REF!</v>
      </c>
      <c r="O16" s="423"/>
      <c r="P16" s="421" t="str">
        <f>IF(AND('Mapa final'!$H$36="Alta",'Mapa final'!$L$36="Menor"),CONCATENATE("R",'Mapa final'!$A$36),"")</f>
        <v/>
      </c>
      <c r="Q16" s="422"/>
      <c r="R16" s="422" t="str">
        <f>IF(AND('Mapa final'!$H$37="Alta",'Mapa final'!$L$37="Menor"),CONCATENATE("R",'Mapa final'!$A$37),"")</f>
        <v/>
      </c>
      <c r="S16" s="422"/>
      <c r="T16" s="422" t="e">
        <f>IF(AND('Mapa final'!#REF!="Alta",'Mapa final'!#REF!="Menor"),CONCATENATE("R",'Mapa final'!#REF!),"")</f>
        <v>#REF!</v>
      </c>
      <c r="U16" s="423"/>
      <c r="V16" s="405" t="str">
        <f>IF(AND('Mapa final'!$H$36="Alta",'Mapa final'!$L$36="Moderado"),CONCATENATE("R",'Mapa final'!$A$36),"")</f>
        <v/>
      </c>
      <c r="W16" s="401"/>
      <c r="X16" s="401" t="str">
        <f>IF(AND('Mapa final'!$H$37="Alta",'Mapa final'!$L$37="Moderado"),CONCATENATE("R",'Mapa final'!$A$37),"")</f>
        <v/>
      </c>
      <c r="Y16" s="401"/>
      <c r="Z16" s="401" t="e">
        <f>IF(AND('Mapa final'!#REF!="Alta",'Mapa final'!#REF!="Moderado"),CONCATENATE("R",'Mapa final'!#REF!),"")</f>
        <v>#REF!</v>
      </c>
      <c r="AA16" s="402"/>
      <c r="AB16" s="405" t="str">
        <f>IF(AND('Mapa final'!$H$36="Alta",'Mapa final'!$L$36="Mayor"),CONCATENATE("R",'Mapa final'!$A$36),"")</f>
        <v/>
      </c>
      <c r="AC16" s="401"/>
      <c r="AD16" s="401" t="str">
        <f>IF(AND('Mapa final'!$H$37="Alta",'Mapa final'!$L$37="Mayor"),CONCATENATE("R",'Mapa final'!$A$37),"")</f>
        <v/>
      </c>
      <c r="AE16" s="401"/>
      <c r="AF16" s="401" t="e">
        <f>IF(AND('Mapa final'!#REF!="Alta",'Mapa final'!#REF!="Mayor"),CONCATENATE("R",'Mapa final'!#REF!),"")</f>
        <v>#REF!</v>
      </c>
      <c r="AG16" s="402"/>
      <c r="AH16" s="412" t="str">
        <f>IF(AND('Mapa final'!$H$36="Alta",'Mapa final'!$L$36="Catastrófico"),CONCATENATE("R",'Mapa final'!$A$36),"")</f>
        <v/>
      </c>
      <c r="AI16" s="413"/>
      <c r="AJ16" s="413" t="str">
        <f>IF(AND('Mapa final'!$H$37="Alta",'Mapa final'!$L$37="Catastrófico"),CONCATENATE("R",'Mapa final'!$A$37),"")</f>
        <v/>
      </c>
      <c r="AK16" s="413"/>
      <c r="AL16" s="413" t="e">
        <f>IF(AND('Mapa final'!#REF!="Alta",'Mapa final'!#REF!="Catastrófico"),CONCATENATE("R",'Mapa final'!#REF!),"")</f>
        <v>#REF!</v>
      </c>
      <c r="AM16" s="414"/>
      <c r="AN16" s="81"/>
      <c r="AO16" s="368"/>
      <c r="AP16" s="369"/>
      <c r="AQ16" s="369"/>
      <c r="AR16" s="369"/>
      <c r="AS16" s="369"/>
      <c r="AT16" s="370"/>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354"/>
      <c r="C17" s="354"/>
      <c r="D17" s="355"/>
      <c r="E17" s="395"/>
      <c r="F17" s="396"/>
      <c r="G17" s="396"/>
      <c r="H17" s="396"/>
      <c r="I17" s="396"/>
      <c r="J17" s="421"/>
      <c r="K17" s="422"/>
      <c r="L17" s="422"/>
      <c r="M17" s="422"/>
      <c r="N17" s="422"/>
      <c r="O17" s="423"/>
      <c r="P17" s="421"/>
      <c r="Q17" s="422"/>
      <c r="R17" s="422"/>
      <c r="S17" s="422"/>
      <c r="T17" s="422"/>
      <c r="U17" s="423"/>
      <c r="V17" s="405"/>
      <c r="W17" s="401"/>
      <c r="X17" s="401"/>
      <c r="Y17" s="401"/>
      <c r="Z17" s="401"/>
      <c r="AA17" s="402"/>
      <c r="AB17" s="405"/>
      <c r="AC17" s="401"/>
      <c r="AD17" s="401"/>
      <c r="AE17" s="401"/>
      <c r="AF17" s="401"/>
      <c r="AG17" s="402"/>
      <c r="AH17" s="412"/>
      <c r="AI17" s="413"/>
      <c r="AJ17" s="413"/>
      <c r="AK17" s="413"/>
      <c r="AL17" s="413"/>
      <c r="AM17" s="414"/>
      <c r="AN17" s="81"/>
      <c r="AO17" s="368"/>
      <c r="AP17" s="369"/>
      <c r="AQ17" s="369"/>
      <c r="AR17" s="369"/>
      <c r="AS17" s="369"/>
      <c r="AT17" s="370"/>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354"/>
      <c r="C18" s="354"/>
      <c r="D18" s="355"/>
      <c r="E18" s="395"/>
      <c r="F18" s="396"/>
      <c r="G18" s="396"/>
      <c r="H18" s="396"/>
      <c r="I18" s="396"/>
      <c r="J18" s="421" t="e">
        <f>IF(AND('Mapa final'!#REF!="Alta",'Mapa final'!#REF!="Leve"),CONCATENATE("R",'Mapa final'!#REF!),"")</f>
        <v>#REF!</v>
      </c>
      <c r="K18" s="422"/>
      <c r="L18" s="422" t="str">
        <f>IF(AND('Mapa final'!$H$38="Alta",'Mapa final'!$L$38="Leve"),CONCATENATE("R",'Mapa final'!$A$38),"")</f>
        <v/>
      </c>
      <c r="M18" s="422"/>
      <c r="N18" s="422" t="str">
        <f>IF(AND('Mapa final'!$H$44="Alta",'Mapa final'!$L$44="Leve"),CONCATENATE("R",'Mapa final'!$A$44),"")</f>
        <v/>
      </c>
      <c r="O18" s="423"/>
      <c r="P18" s="421" t="e">
        <f>IF(AND('Mapa final'!#REF!="Alta",'Mapa final'!#REF!="Menor"),CONCATENATE("R",'Mapa final'!#REF!),"")</f>
        <v>#REF!</v>
      </c>
      <c r="Q18" s="422"/>
      <c r="R18" s="422" t="str">
        <f>IF(AND('Mapa final'!$H$38="Alta",'Mapa final'!$L$38="Menor"),CONCATENATE("R",'Mapa final'!$A$38),"")</f>
        <v/>
      </c>
      <c r="S18" s="422"/>
      <c r="T18" s="422" t="str">
        <f>IF(AND('Mapa final'!$H$44="Alta",'Mapa final'!$L$44="Menor"),CONCATENATE("R",'Mapa final'!$A$44),"")</f>
        <v/>
      </c>
      <c r="U18" s="423"/>
      <c r="V18" s="405" t="e">
        <f>IF(AND('Mapa final'!#REF!="Alta",'Mapa final'!#REF!="Moderado"),CONCATENATE("R",'Mapa final'!#REF!),"")</f>
        <v>#REF!</v>
      </c>
      <c r="W18" s="401"/>
      <c r="X18" s="401" t="str">
        <f>IF(AND('Mapa final'!$H$38="Alta",'Mapa final'!$L$38="Moderado"),CONCATENATE("R",'Mapa final'!$A$38),"")</f>
        <v/>
      </c>
      <c r="Y18" s="401"/>
      <c r="Z18" s="401" t="str">
        <f>IF(AND('Mapa final'!$H$44="Alta",'Mapa final'!$L$44="Moderado"),CONCATENATE("R",'Mapa final'!$A$44),"")</f>
        <v/>
      </c>
      <c r="AA18" s="402"/>
      <c r="AB18" s="405" t="e">
        <f>IF(AND('Mapa final'!#REF!="Alta",'Mapa final'!#REF!="Mayor"),CONCATENATE("R",'Mapa final'!#REF!),"")</f>
        <v>#REF!</v>
      </c>
      <c r="AC18" s="401"/>
      <c r="AD18" s="401" t="str">
        <f>IF(AND('Mapa final'!$H$38="Alta",'Mapa final'!$L$38="Mayor"),CONCATENATE("R",'Mapa final'!$A$38),"")</f>
        <v/>
      </c>
      <c r="AE18" s="401"/>
      <c r="AF18" s="401" t="str">
        <f>IF(AND('Mapa final'!$H$44="Alta",'Mapa final'!$L$44="Mayor"),CONCATENATE("R",'Mapa final'!$A$44),"")</f>
        <v/>
      </c>
      <c r="AG18" s="402"/>
      <c r="AH18" s="412" t="e">
        <f>IF(AND('Mapa final'!#REF!="Alta",'Mapa final'!#REF!="Catastrófico"),CONCATENATE("R",'Mapa final'!#REF!),"")</f>
        <v>#REF!</v>
      </c>
      <c r="AI18" s="413"/>
      <c r="AJ18" s="413" t="str">
        <f>IF(AND('Mapa final'!$H$38="Alta",'Mapa final'!$L$38="Catastrófico"),CONCATENATE("R",'Mapa final'!$A$38),"")</f>
        <v/>
      </c>
      <c r="AK18" s="413"/>
      <c r="AL18" s="413" t="str">
        <f>IF(AND('Mapa final'!$H$44="Alta",'Mapa final'!$L$44="Catastrófico"),CONCATENATE("R",'Mapa final'!$A$44),"")</f>
        <v/>
      </c>
      <c r="AM18" s="414"/>
      <c r="AN18" s="81"/>
      <c r="AO18" s="368"/>
      <c r="AP18" s="369"/>
      <c r="AQ18" s="369"/>
      <c r="AR18" s="369"/>
      <c r="AS18" s="369"/>
      <c r="AT18" s="370"/>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354"/>
      <c r="C19" s="354"/>
      <c r="D19" s="355"/>
      <c r="E19" s="395"/>
      <c r="F19" s="396"/>
      <c r="G19" s="396"/>
      <c r="H19" s="396"/>
      <c r="I19" s="396"/>
      <c r="J19" s="421"/>
      <c r="K19" s="422"/>
      <c r="L19" s="422"/>
      <c r="M19" s="422"/>
      <c r="N19" s="422"/>
      <c r="O19" s="423"/>
      <c r="P19" s="421"/>
      <c r="Q19" s="422"/>
      <c r="R19" s="422"/>
      <c r="S19" s="422"/>
      <c r="T19" s="422"/>
      <c r="U19" s="423"/>
      <c r="V19" s="405"/>
      <c r="W19" s="401"/>
      <c r="X19" s="401"/>
      <c r="Y19" s="401"/>
      <c r="Z19" s="401"/>
      <c r="AA19" s="402"/>
      <c r="AB19" s="405"/>
      <c r="AC19" s="401"/>
      <c r="AD19" s="401"/>
      <c r="AE19" s="401"/>
      <c r="AF19" s="401"/>
      <c r="AG19" s="402"/>
      <c r="AH19" s="412"/>
      <c r="AI19" s="413"/>
      <c r="AJ19" s="413"/>
      <c r="AK19" s="413"/>
      <c r="AL19" s="413"/>
      <c r="AM19" s="414"/>
      <c r="AN19" s="81"/>
      <c r="AO19" s="368"/>
      <c r="AP19" s="369"/>
      <c r="AQ19" s="369"/>
      <c r="AR19" s="369"/>
      <c r="AS19" s="369"/>
      <c r="AT19" s="370"/>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354"/>
      <c r="C20" s="354"/>
      <c r="D20" s="355"/>
      <c r="E20" s="395"/>
      <c r="F20" s="396"/>
      <c r="G20" s="396"/>
      <c r="H20" s="396"/>
      <c r="I20" s="396"/>
      <c r="J20" s="421" t="str">
        <f>IF(AND('Mapa final'!$H$50="Alta",'Mapa final'!$L$50="Leve"),CONCATENATE("R",'Mapa final'!$A$50),"")</f>
        <v/>
      </c>
      <c r="K20" s="422"/>
      <c r="L20" s="422" t="str">
        <f>IF(AND('Mapa final'!$H$55="Alta",'Mapa final'!$L$55="Leve"),CONCATENATE("R",'Mapa final'!$A$55),"")</f>
        <v/>
      </c>
      <c r="M20" s="422"/>
      <c r="N20" s="422" t="str">
        <f>IF(AND('Mapa final'!$H$61="Alta",'Mapa final'!$L$61="Leve"),CONCATENATE("R",'Mapa final'!$A$61),"")</f>
        <v/>
      </c>
      <c r="O20" s="423"/>
      <c r="P20" s="421" t="str">
        <f>IF(AND('Mapa final'!$H$50="Alta",'Mapa final'!$L$50="Menor"),CONCATENATE("R",'Mapa final'!$A$50),"")</f>
        <v/>
      </c>
      <c r="Q20" s="422"/>
      <c r="R20" s="422" t="str">
        <f>IF(AND('Mapa final'!$H$55="Alta",'Mapa final'!$L$55="Menor"),CONCATENATE("R",'Mapa final'!$A$55),"")</f>
        <v/>
      </c>
      <c r="S20" s="422"/>
      <c r="T20" s="422" t="str">
        <f>IF(AND('Mapa final'!$H$61="Alta",'Mapa final'!$L$61="Menor"),CONCATENATE("R",'Mapa final'!$A$61),"")</f>
        <v/>
      </c>
      <c r="U20" s="423"/>
      <c r="V20" s="405" t="str">
        <f>IF(AND('Mapa final'!$H$50="Alta",'Mapa final'!$L$50="Moderado"),CONCATENATE("R",'Mapa final'!$A$50),"")</f>
        <v/>
      </c>
      <c r="W20" s="401"/>
      <c r="X20" s="401" t="str">
        <f>IF(AND('Mapa final'!$H$55="Alta",'Mapa final'!$L$55="Moderado"),CONCATENATE("R",'Mapa final'!$A$55),"")</f>
        <v/>
      </c>
      <c r="Y20" s="401"/>
      <c r="Z20" s="401" t="str">
        <f>IF(AND('Mapa final'!$H$61="Alta",'Mapa final'!$L$61="Moderado"),CONCATENATE("R",'Mapa final'!$A$61),"")</f>
        <v/>
      </c>
      <c r="AA20" s="402"/>
      <c r="AB20" s="405" t="str">
        <f>IF(AND('Mapa final'!$H$50="Alta",'Mapa final'!$L$50="Mayor"),CONCATENATE("R",'Mapa final'!$A$50),"")</f>
        <v/>
      </c>
      <c r="AC20" s="401"/>
      <c r="AD20" s="401" t="str">
        <f>IF(AND('Mapa final'!$H$55="Alta",'Mapa final'!$L$55="Mayor"),CONCATENATE("R",'Mapa final'!$A$55),"")</f>
        <v/>
      </c>
      <c r="AE20" s="401"/>
      <c r="AF20" s="401" t="str">
        <f>IF(AND('Mapa final'!$H$61="Alta",'Mapa final'!$L$61="Mayor"),CONCATENATE("R",'Mapa final'!$A$61),"")</f>
        <v/>
      </c>
      <c r="AG20" s="402"/>
      <c r="AH20" s="412" t="str">
        <f>IF(AND('Mapa final'!$H$50="Alta",'Mapa final'!$L$50="Catastrófico"),CONCATENATE("R",'Mapa final'!$A$50),"")</f>
        <v/>
      </c>
      <c r="AI20" s="413"/>
      <c r="AJ20" s="413" t="str">
        <f>IF(AND('Mapa final'!$H$55="Alta",'Mapa final'!$L$55="Catastrófico"),CONCATENATE("R",'Mapa final'!$A$55),"")</f>
        <v/>
      </c>
      <c r="AK20" s="413"/>
      <c r="AL20" s="413" t="str">
        <f>IF(AND('Mapa final'!$H$61="Alta",'Mapa final'!$L$61="Catastrófico"),CONCATENATE("R",'Mapa final'!$A$61),"")</f>
        <v/>
      </c>
      <c r="AM20" s="414"/>
      <c r="AN20" s="81"/>
      <c r="AO20" s="368"/>
      <c r="AP20" s="369"/>
      <c r="AQ20" s="369"/>
      <c r="AR20" s="369"/>
      <c r="AS20" s="369"/>
      <c r="AT20" s="370"/>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354"/>
      <c r="C21" s="354"/>
      <c r="D21" s="355"/>
      <c r="E21" s="398"/>
      <c r="F21" s="399"/>
      <c r="G21" s="399"/>
      <c r="H21" s="399"/>
      <c r="I21" s="399"/>
      <c r="J21" s="424"/>
      <c r="K21" s="425"/>
      <c r="L21" s="425"/>
      <c r="M21" s="425"/>
      <c r="N21" s="425"/>
      <c r="O21" s="426"/>
      <c r="P21" s="424"/>
      <c r="Q21" s="425"/>
      <c r="R21" s="425"/>
      <c r="S21" s="425"/>
      <c r="T21" s="425"/>
      <c r="U21" s="426"/>
      <c r="V21" s="409"/>
      <c r="W21" s="410"/>
      <c r="X21" s="410"/>
      <c r="Y21" s="410"/>
      <c r="Z21" s="410"/>
      <c r="AA21" s="411"/>
      <c r="AB21" s="409"/>
      <c r="AC21" s="410"/>
      <c r="AD21" s="410"/>
      <c r="AE21" s="410"/>
      <c r="AF21" s="410"/>
      <c r="AG21" s="411"/>
      <c r="AH21" s="415"/>
      <c r="AI21" s="416"/>
      <c r="AJ21" s="416"/>
      <c r="AK21" s="416"/>
      <c r="AL21" s="416"/>
      <c r="AM21" s="417"/>
      <c r="AN21" s="81"/>
      <c r="AO21" s="371"/>
      <c r="AP21" s="372"/>
      <c r="AQ21" s="372"/>
      <c r="AR21" s="372"/>
      <c r="AS21" s="372"/>
      <c r="AT21" s="373"/>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354"/>
      <c r="C22" s="354"/>
      <c r="D22" s="355"/>
      <c r="E22" s="392" t="s">
        <v>188</v>
      </c>
      <c r="F22" s="393"/>
      <c r="G22" s="393"/>
      <c r="H22" s="393"/>
      <c r="I22" s="394"/>
      <c r="J22" s="427" t="str">
        <f>IF(AND('Mapa final'!$H$32="Media",'Mapa final'!$L$32="Leve"),CONCATENATE("R",'Mapa final'!$A$32),"")</f>
        <v/>
      </c>
      <c r="K22" s="428"/>
      <c r="L22" s="428" t="str">
        <f>IF(AND('Mapa final'!$H$34="Media",'Mapa final'!$L$34="Leve"),CONCATENATE("R",'Mapa final'!$A$34),"")</f>
        <v>R2</v>
      </c>
      <c r="M22" s="428"/>
      <c r="N22" s="428" t="str">
        <f>IF(AND('Mapa final'!$H$35="Media",'Mapa final'!$L$35="Leve"),CONCATENATE("R",'Mapa final'!$A$35),"")</f>
        <v/>
      </c>
      <c r="O22" s="429"/>
      <c r="P22" s="427" t="str">
        <f>IF(AND('Mapa final'!$H$32="Media",'Mapa final'!$L$32="Menor"),CONCATENATE("R",'Mapa final'!$A$32),"")</f>
        <v/>
      </c>
      <c r="Q22" s="428"/>
      <c r="R22" s="428" t="str">
        <f>IF(AND('Mapa final'!$H$34="Media",'Mapa final'!$L$34="Menor"),CONCATENATE("R",'Mapa final'!$A$34),"")</f>
        <v/>
      </c>
      <c r="S22" s="428"/>
      <c r="T22" s="428" t="str">
        <f>IF(AND('Mapa final'!$H$35="Media",'Mapa final'!$L$35="Menor"),CONCATENATE("R",'Mapa final'!$A$35),"")</f>
        <v/>
      </c>
      <c r="U22" s="429"/>
      <c r="V22" s="427" t="str">
        <f>IF(AND('Mapa final'!$H$32="Media",'Mapa final'!$L$32="Moderado"),CONCATENATE("R",'Mapa final'!$A$32),"")</f>
        <v/>
      </c>
      <c r="W22" s="428"/>
      <c r="X22" s="428" t="str">
        <f>IF(AND('Mapa final'!$H$34="Media",'Mapa final'!$L$34="Moderado"),CONCATENATE("R",'Mapa final'!$A$34),"")</f>
        <v/>
      </c>
      <c r="Y22" s="428"/>
      <c r="Z22" s="428" t="str">
        <f>IF(AND('Mapa final'!$H$35="Media",'Mapa final'!$L$35="Moderado"),CONCATENATE("R",'Mapa final'!$A$35),"")</f>
        <v>R3</v>
      </c>
      <c r="AA22" s="429"/>
      <c r="AB22" s="403" t="str">
        <f>IF(AND('Mapa final'!$H$32="Media",'Mapa final'!$L$32="Mayor"),CONCATENATE("R",'Mapa final'!$A$32),"")</f>
        <v/>
      </c>
      <c r="AC22" s="404"/>
      <c r="AD22" s="404" t="str">
        <f>IF(AND('Mapa final'!$H$34="Media",'Mapa final'!$L$34="Mayor"),CONCATENATE("R",'Mapa final'!$A$34),"")</f>
        <v/>
      </c>
      <c r="AE22" s="404"/>
      <c r="AF22" s="404" t="str">
        <f>IF(AND('Mapa final'!$H$35="Media",'Mapa final'!$L$35="Mayor"),CONCATENATE("R",'Mapa final'!$A$35),"")</f>
        <v/>
      </c>
      <c r="AG22" s="406"/>
      <c r="AH22" s="418" t="str">
        <f>IF(AND('Mapa final'!$H$32="Media",'Mapa final'!$L$32="Catastrófico"),CONCATENATE("R",'Mapa final'!$A$32),"")</f>
        <v/>
      </c>
      <c r="AI22" s="419"/>
      <c r="AJ22" s="419" t="str">
        <f>IF(AND('Mapa final'!$H$34="Media",'Mapa final'!$L$34="Catastrófico"),CONCATENATE("R",'Mapa final'!$A$34),"")</f>
        <v/>
      </c>
      <c r="AK22" s="419"/>
      <c r="AL22" s="419" t="str">
        <f>IF(AND('Mapa final'!$H$35="Media",'Mapa final'!$L$35="Catastrófico"),CONCATENATE("R",'Mapa final'!$A$35),"")</f>
        <v/>
      </c>
      <c r="AM22" s="420"/>
      <c r="AN22" s="81"/>
      <c r="AO22" s="374" t="s">
        <v>189</v>
      </c>
      <c r="AP22" s="375"/>
      <c r="AQ22" s="375"/>
      <c r="AR22" s="375"/>
      <c r="AS22" s="375"/>
      <c r="AT22" s="376"/>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354"/>
      <c r="C23" s="354"/>
      <c r="D23" s="355"/>
      <c r="E23" s="395"/>
      <c r="F23" s="396"/>
      <c r="G23" s="396"/>
      <c r="H23" s="396"/>
      <c r="I23" s="397"/>
      <c r="J23" s="421"/>
      <c r="K23" s="422"/>
      <c r="L23" s="422"/>
      <c r="M23" s="422"/>
      <c r="N23" s="422"/>
      <c r="O23" s="423"/>
      <c r="P23" s="421"/>
      <c r="Q23" s="422"/>
      <c r="R23" s="422"/>
      <c r="S23" s="422"/>
      <c r="T23" s="422"/>
      <c r="U23" s="423"/>
      <c r="V23" s="421"/>
      <c r="W23" s="422"/>
      <c r="X23" s="422"/>
      <c r="Y23" s="422"/>
      <c r="Z23" s="422"/>
      <c r="AA23" s="423"/>
      <c r="AB23" s="405"/>
      <c r="AC23" s="401"/>
      <c r="AD23" s="401"/>
      <c r="AE23" s="401"/>
      <c r="AF23" s="401"/>
      <c r="AG23" s="402"/>
      <c r="AH23" s="412"/>
      <c r="AI23" s="413"/>
      <c r="AJ23" s="413"/>
      <c r="AK23" s="413"/>
      <c r="AL23" s="413"/>
      <c r="AM23" s="414"/>
      <c r="AN23" s="81"/>
      <c r="AO23" s="377"/>
      <c r="AP23" s="378"/>
      <c r="AQ23" s="378"/>
      <c r="AR23" s="378"/>
      <c r="AS23" s="378"/>
      <c r="AT23" s="379"/>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354"/>
      <c r="C24" s="354"/>
      <c r="D24" s="355"/>
      <c r="E24" s="395"/>
      <c r="F24" s="396"/>
      <c r="G24" s="396"/>
      <c r="H24" s="396"/>
      <c r="I24" s="397"/>
      <c r="J24" s="421" t="str">
        <f>IF(AND('Mapa final'!$H$36="Media",'Mapa final'!$L$36="Leve"),CONCATENATE("R",'Mapa final'!$A$36),"")</f>
        <v/>
      </c>
      <c r="K24" s="422"/>
      <c r="L24" s="422" t="str">
        <f>IF(AND('Mapa final'!$H$37="Media",'Mapa final'!$L$37="Leve"),CONCATENATE("R",'Mapa final'!$A$37),"")</f>
        <v/>
      </c>
      <c r="M24" s="422"/>
      <c r="N24" s="422" t="e">
        <f>IF(AND('Mapa final'!#REF!="Media",'Mapa final'!#REF!="Leve"),CONCATENATE("R",'Mapa final'!#REF!),"")</f>
        <v>#REF!</v>
      </c>
      <c r="O24" s="423"/>
      <c r="P24" s="421" t="str">
        <f>IF(AND('Mapa final'!$H$36="Media",'Mapa final'!$L$36="Menor"),CONCATENATE("R",'Mapa final'!$A$36),"")</f>
        <v/>
      </c>
      <c r="Q24" s="422"/>
      <c r="R24" s="422" t="str">
        <f>IF(AND('Mapa final'!$H$37="Media",'Mapa final'!$L$37="Menor"),CONCATENATE("R",'Mapa final'!$A$37),"")</f>
        <v>R5</v>
      </c>
      <c r="S24" s="422"/>
      <c r="T24" s="422" t="e">
        <f>IF(AND('Mapa final'!#REF!="Media",'Mapa final'!#REF!="Menor"),CONCATENATE("R",'Mapa final'!#REF!),"")</f>
        <v>#REF!</v>
      </c>
      <c r="U24" s="423"/>
      <c r="V24" s="421" t="str">
        <f>IF(AND('Mapa final'!$H$36="Media",'Mapa final'!$L$36="Moderado"),CONCATENATE("R",'Mapa final'!$A$36),"")</f>
        <v/>
      </c>
      <c r="W24" s="422"/>
      <c r="X24" s="422" t="str">
        <f>IF(AND('Mapa final'!$H$37="Media",'Mapa final'!$L$37="Moderado"),CONCATENATE("R",'Mapa final'!$A$37),"")</f>
        <v/>
      </c>
      <c r="Y24" s="422"/>
      <c r="Z24" s="422" t="e">
        <f>IF(AND('Mapa final'!#REF!="Media",'Mapa final'!#REF!="Moderado"),CONCATENATE("R",'Mapa final'!#REF!),"")</f>
        <v>#REF!</v>
      </c>
      <c r="AA24" s="423"/>
      <c r="AB24" s="405" t="str">
        <f>IF(AND('Mapa final'!$H$36="Media",'Mapa final'!$L$36="Mayor"),CONCATENATE("R",'Mapa final'!$A$36),"")</f>
        <v/>
      </c>
      <c r="AC24" s="401"/>
      <c r="AD24" s="401" t="str">
        <f>IF(AND('Mapa final'!$H$37="Media",'Mapa final'!$L$37="Mayor"),CONCATENATE("R",'Mapa final'!$A$37),"")</f>
        <v/>
      </c>
      <c r="AE24" s="401"/>
      <c r="AF24" s="401" t="e">
        <f>IF(AND('Mapa final'!#REF!="Media",'Mapa final'!#REF!="Mayor"),CONCATENATE("R",'Mapa final'!#REF!),"")</f>
        <v>#REF!</v>
      </c>
      <c r="AG24" s="402"/>
      <c r="AH24" s="412" t="str">
        <f>IF(AND('Mapa final'!$H$36="Media",'Mapa final'!$L$36="Catastrófico"),CONCATENATE("R",'Mapa final'!$A$36),"")</f>
        <v/>
      </c>
      <c r="AI24" s="413"/>
      <c r="AJ24" s="413" t="str">
        <f>IF(AND('Mapa final'!$H$37="Media",'Mapa final'!$L$37="Catastrófico"),CONCATENATE("R",'Mapa final'!$A$37),"")</f>
        <v/>
      </c>
      <c r="AK24" s="413"/>
      <c r="AL24" s="413" t="e">
        <f>IF(AND('Mapa final'!#REF!="Media",'Mapa final'!#REF!="Catastrófico"),CONCATENATE("R",'Mapa final'!#REF!),"")</f>
        <v>#REF!</v>
      </c>
      <c r="AM24" s="414"/>
      <c r="AN24" s="81"/>
      <c r="AO24" s="377"/>
      <c r="AP24" s="378"/>
      <c r="AQ24" s="378"/>
      <c r="AR24" s="378"/>
      <c r="AS24" s="378"/>
      <c r="AT24" s="379"/>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354"/>
      <c r="C25" s="354"/>
      <c r="D25" s="355"/>
      <c r="E25" s="395"/>
      <c r="F25" s="396"/>
      <c r="G25" s="396"/>
      <c r="H25" s="396"/>
      <c r="I25" s="397"/>
      <c r="J25" s="421"/>
      <c r="K25" s="422"/>
      <c r="L25" s="422"/>
      <c r="M25" s="422"/>
      <c r="N25" s="422"/>
      <c r="O25" s="423"/>
      <c r="P25" s="421"/>
      <c r="Q25" s="422"/>
      <c r="R25" s="422"/>
      <c r="S25" s="422"/>
      <c r="T25" s="422"/>
      <c r="U25" s="423"/>
      <c r="V25" s="421"/>
      <c r="W25" s="422"/>
      <c r="X25" s="422"/>
      <c r="Y25" s="422"/>
      <c r="Z25" s="422"/>
      <c r="AA25" s="423"/>
      <c r="AB25" s="405"/>
      <c r="AC25" s="401"/>
      <c r="AD25" s="401"/>
      <c r="AE25" s="401"/>
      <c r="AF25" s="401"/>
      <c r="AG25" s="402"/>
      <c r="AH25" s="412"/>
      <c r="AI25" s="413"/>
      <c r="AJ25" s="413"/>
      <c r="AK25" s="413"/>
      <c r="AL25" s="413"/>
      <c r="AM25" s="414"/>
      <c r="AN25" s="81"/>
      <c r="AO25" s="377"/>
      <c r="AP25" s="378"/>
      <c r="AQ25" s="378"/>
      <c r="AR25" s="378"/>
      <c r="AS25" s="378"/>
      <c r="AT25" s="379"/>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354"/>
      <c r="C26" s="354"/>
      <c r="D26" s="355"/>
      <c r="E26" s="395"/>
      <c r="F26" s="396"/>
      <c r="G26" s="396"/>
      <c r="H26" s="396"/>
      <c r="I26" s="397"/>
      <c r="J26" s="421" t="e">
        <f>IF(AND('Mapa final'!#REF!="Media",'Mapa final'!#REF!="Leve"),CONCATENATE("R",'Mapa final'!#REF!),"")</f>
        <v>#REF!</v>
      </c>
      <c r="K26" s="422"/>
      <c r="L26" s="422" t="str">
        <f>IF(AND('Mapa final'!$H$38="Media",'Mapa final'!$L$38="Leve"),CONCATENATE("R",'Mapa final'!$A$38),"")</f>
        <v/>
      </c>
      <c r="M26" s="422"/>
      <c r="N26" s="422" t="str">
        <f>IF(AND('Mapa final'!$H$44="Media",'Mapa final'!$L$44="Leve"),CONCATENATE("R",'Mapa final'!$A$44),"")</f>
        <v/>
      </c>
      <c r="O26" s="423"/>
      <c r="P26" s="421" t="e">
        <f>IF(AND('Mapa final'!#REF!="Media",'Mapa final'!#REF!="Menor"),CONCATENATE("R",'Mapa final'!#REF!),"")</f>
        <v>#REF!</v>
      </c>
      <c r="Q26" s="422"/>
      <c r="R26" s="422" t="str">
        <f>IF(AND('Mapa final'!$H$38="Media",'Mapa final'!$L$38="Menor"),CONCATENATE("R",'Mapa final'!$A$38),"")</f>
        <v/>
      </c>
      <c r="S26" s="422"/>
      <c r="T26" s="422" t="str">
        <f>IF(AND('Mapa final'!$H$44="Media",'Mapa final'!$L$44="Menor"),CONCATENATE("R",'Mapa final'!$A$44),"")</f>
        <v/>
      </c>
      <c r="U26" s="423"/>
      <c r="V26" s="421" t="e">
        <f>IF(AND('Mapa final'!#REF!="Media",'Mapa final'!#REF!="Moderado"),CONCATENATE("R",'Mapa final'!#REF!),"")</f>
        <v>#REF!</v>
      </c>
      <c r="W26" s="422"/>
      <c r="X26" s="422" t="str">
        <f>IF(AND('Mapa final'!$H$38="Media",'Mapa final'!$L$38="Moderado"),CONCATENATE("R",'Mapa final'!$A$38),"")</f>
        <v/>
      </c>
      <c r="Y26" s="422"/>
      <c r="Z26" s="422" t="str">
        <f>IF(AND('Mapa final'!$H$44="Media",'Mapa final'!$L$44="Moderado"),CONCATENATE("R",'Mapa final'!$A$44),"")</f>
        <v/>
      </c>
      <c r="AA26" s="423"/>
      <c r="AB26" s="405" t="e">
        <f>IF(AND('Mapa final'!#REF!="Media",'Mapa final'!#REF!="Mayor"),CONCATENATE("R",'Mapa final'!#REF!),"")</f>
        <v>#REF!</v>
      </c>
      <c r="AC26" s="401"/>
      <c r="AD26" s="401" t="str">
        <f>IF(AND('Mapa final'!$H$38="Media",'Mapa final'!$L$38="Mayor"),CONCATENATE("R",'Mapa final'!$A$38),"")</f>
        <v/>
      </c>
      <c r="AE26" s="401"/>
      <c r="AF26" s="401" t="str">
        <f>IF(AND('Mapa final'!$H$44="Media",'Mapa final'!$L$44="Mayor"),CONCATENATE("R",'Mapa final'!$A$44),"")</f>
        <v/>
      </c>
      <c r="AG26" s="402"/>
      <c r="AH26" s="412" t="e">
        <f>IF(AND('Mapa final'!#REF!="Media",'Mapa final'!#REF!="Catastrófico"),CONCATENATE("R",'Mapa final'!#REF!),"")</f>
        <v>#REF!</v>
      </c>
      <c r="AI26" s="413"/>
      <c r="AJ26" s="413" t="str">
        <f>IF(AND('Mapa final'!$H$38="Media",'Mapa final'!$L$38="Catastrófico"),CONCATENATE("R",'Mapa final'!$A$38),"")</f>
        <v/>
      </c>
      <c r="AK26" s="413"/>
      <c r="AL26" s="413" t="str">
        <f>IF(AND('Mapa final'!$H$44="Media",'Mapa final'!$L$44="Catastrófico"),CONCATENATE("R",'Mapa final'!$A$44),"")</f>
        <v/>
      </c>
      <c r="AM26" s="414"/>
      <c r="AN26" s="81"/>
      <c r="AO26" s="377"/>
      <c r="AP26" s="378"/>
      <c r="AQ26" s="378"/>
      <c r="AR26" s="378"/>
      <c r="AS26" s="378"/>
      <c r="AT26" s="379"/>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354"/>
      <c r="C27" s="354"/>
      <c r="D27" s="355"/>
      <c r="E27" s="395"/>
      <c r="F27" s="396"/>
      <c r="G27" s="396"/>
      <c r="H27" s="396"/>
      <c r="I27" s="397"/>
      <c r="J27" s="421"/>
      <c r="K27" s="422"/>
      <c r="L27" s="422"/>
      <c r="M27" s="422"/>
      <c r="N27" s="422"/>
      <c r="O27" s="423"/>
      <c r="P27" s="421"/>
      <c r="Q27" s="422"/>
      <c r="R27" s="422"/>
      <c r="S27" s="422"/>
      <c r="T27" s="422"/>
      <c r="U27" s="423"/>
      <c r="V27" s="421"/>
      <c r="W27" s="422"/>
      <c r="X27" s="422"/>
      <c r="Y27" s="422"/>
      <c r="Z27" s="422"/>
      <c r="AA27" s="423"/>
      <c r="AB27" s="405"/>
      <c r="AC27" s="401"/>
      <c r="AD27" s="401"/>
      <c r="AE27" s="401"/>
      <c r="AF27" s="401"/>
      <c r="AG27" s="402"/>
      <c r="AH27" s="412"/>
      <c r="AI27" s="413"/>
      <c r="AJ27" s="413"/>
      <c r="AK27" s="413"/>
      <c r="AL27" s="413"/>
      <c r="AM27" s="414"/>
      <c r="AN27" s="81"/>
      <c r="AO27" s="377"/>
      <c r="AP27" s="378"/>
      <c r="AQ27" s="378"/>
      <c r="AR27" s="378"/>
      <c r="AS27" s="378"/>
      <c r="AT27" s="379"/>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354"/>
      <c r="C28" s="354"/>
      <c r="D28" s="355"/>
      <c r="E28" s="395"/>
      <c r="F28" s="396"/>
      <c r="G28" s="396"/>
      <c r="H28" s="396"/>
      <c r="I28" s="397"/>
      <c r="J28" s="421" t="str">
        <f>IF(AND('Mapa final'!$H$50="Media",'Mapa final'!$L$50="Leve"),CONCATENATE("R",'Mapa final'!$A$50),"")</f>
        <v/>
      </c>
      <c r="K28" s="422"/>
      <c r="L28" s="422" t="str">
        <f>IF(AND('Mapa final'!$H$55="Media",'Mapa final'!$L$55="Leve"),CONCATENATE("R",'Mapa final'!$A$55),"")</f>
        <v/>
      </c>
      <c r="M28" s="422"/>
      <c r="N28" s="422" t="str">
        <f>IF(AND('Mapa final'!$H$61="Media",'Mapa final'!$L$61="Leve"),CONCATENATE("R",'Mapa final'!$A$61),"")</f>
        <v/>
      </c>
      <c r="O28" s="423"/>
      <c r="P28" s="421" t="str">
        <f>IF(AND('Mapa final'!$H$50="Media",'Mapa final'!$L$50="Menor"),CONCATENATE("R",'Mapa final'!$A$50),"")</f>
        <v/>
      </c>
      <c r="Q28" s="422"/>
      <c r="R28" s="422" t="str">
        <f>IF(AND('Mapa final'!$H$55="Media",'Mapa final'!$L$55="Menor"),CONCATENATE("R",'Mapa final'!$A$55),"")</f>
        <v/>
      </c>
      <c r="S28" s="422"/>
      <c r="T28" s="422" t="str">
        <f>IF(AND('Mapa final'!$H$61="Media",'Mapa final'!$L$61="Menor"),CONCATENATE("R",'Mapa final'!$A$61),"")</f>
        <v/>
      </c>
      <c r="U28" s="423"/>
      <c r="V28" s="421" t="str">
        <f>IF(AND('Mapa final'!$H$50="Media",'Mapa final'!$L$50="Moderado"),CONCATENATE("R",'Mapa final'!$A$50),"")</f>
        <v/>
      </c>
      <c r="W28" s="422"/>
      <c r="X28" s="422" t="str">
        <f>IF(AND('Mapa final'!$H$55="Media",'Mapa final'!$L$55="Moderado"),CONCATENATE("R",'Mapa final'!$A$55),"")</f>
        <v/>
      </c>
      <c r="Y28" s="422"/>
      <c r="Z28" s="422" t="str">
        <f>IF(AND('Mapa final'!$H$61="Media",'Mapa final'!$L$61="Moderado"),CONCATENATE("R",'Mapa final'!$A$61),"")</f>
        <v/>
      </c>
      <c r="AA28" s="423"/>
      <c r="AB28" s="405" t="str">
        <f>IF(AND('Mapa final'!$H$50="Media",'Mapa final'!$L$50="Mayor"),CONCATENATE("R",'Mapa final'!$A$50),"")</f>
        <v/>
      </c>
      <c r="AC28" s="401"/>
      <c r="AD28" s="401" t="str">
        <f>IF(AND('Mapa final'!$H$55="Media",'Mapa final'!$L$55="Mayor"),CONCATENATE("R",'Mapa final'!$A$55),"")</f>
        <v/>
      </c>
      <c r="AE28" s="401"/>
      <c r="AF28" s="401" t="str">
        <f>IF(AND('Mapa final'!$H$61="Media",'Mapa final'!$L$61="Mayor"),CONCATENATE("R",'Mapa final'!$A$61),"")</f>
        <v/>
      </c>
      <c r="AG28" s="402"/>
      <c r="AH28" s="412" t="str">
        <f>IF(AND('Mapa final'!$H$50="Media",'Mapa final'!$L$50="Catastrófico"),CONCATENATE("R",'Mapa final'!$A$50),"")</f>
        <v/>
      </c>
      <c r="AI28" s="413"/>
      <c r="AJ28" s="413" t="str">
        <f>IF(AND('Mapa final'!$H$55="Media",'Mapa final'!$L$55="Catastrófico"),CONCATENATE("R",'Mapa final'!$A$55),"")</f>
        <v/>
      </c>
      <c r="AK28" s="413"/>
      <c r="AL28" s="413" t="str">
        <f>IF(AND('Mapa final'!$H$61="Media",'Mapa final'!$L$61="Catastrófico"),CONCATENATE("R",'Mapa final'!$A$61),"")</f>
        <v/>
      </c>
      <c r="AM28" s="414"/>
      <c r="AN28" s="81"/>
      <c r="AO28" s="377"/>
      <c r="AP28" s="378"/>
      <c r="AQ28" s="378"/>
      <c r="AR28" s="378"/>
      <c r="AS28" s="378"/>
      <c r="AT28" s="379"/>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354"/>
      <c r="C29" s="354"/>
      <c r="D29" s="355"/>
      <c r="E29" s="398"/>
      <c r="F29" s="399"/>
      <c r="G29" s="399"/>
      <c r="H29" s="399"/>
      <c r="I29" s="400"/>
      <c r="J29" s="421"/>
      <c r="K29" s="422"/>
      <c r="L29" s="422"/>
      <c r="M29" s="422"/>
      <c r="N29" s="422"/>
      <c r="O29" s="423"/>
      <c r="P29" s="424"/>
      <c r="Q29" s="425"/>
      <c r="R29" s="425"/>
      <c r="S29" s="425"/>
      <c r="T29" s="425"/>
      <c r="U29" s="426"/>
      <c r="V29" s="424"/>
      <c r="W29" s="425"/>
      <c r="X29" s="425"/>
      <c r="Y29" s="425"/>
      <c r="Z29" s="425"/>
      <c r="AA29" s="426"/>
      <c r="AB29" s="409"/>
      <c r="AC29" s="410"/>
      <c r="AD29" s="410"/>
      <c r="AE29" s="410"/>
      <c r="AF29" s="410"/>
      <c r="AG29" s="411"/>
      <c r="AH29" s="415"/>
      <c r="AI29" s="416"/>
      <c r="AJ29" s="416"/>
      <c r="AK29" s="416"/>
      <c r="AL29" s="416"/>
      <c r="AM29" s="417"/>
      <c r="AN29" s="81"/>
      <c r="AO29" s="380"/>
      <c r="AP29" s="381"/>
      <c r="AQ29" s="381"/>
      <c r="AR29" s="381"/>
      <c r="AS29" s="381"/>
      <c r="AT29" s="382"/>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354"/>
      <c r="C30" s="354"/>
      <c r="D30" s="355"/>
      <c r="E30" s="392" t="s">
        <v>190</v>
      </c>
      <c r="F30" s="393"/>
      <c r="G30" s="393"/>
      <c r="H30" s="393"/>
      <c r="I30" s="393"/>
      <c r="J30" s="436" t="str">
        <f>IF(AND('Mapa final'!$H$32="Baja",'Mapa final'!$L$32="Leve"),CONCATENATE("R",'Mapa final'!$A$32),"")</f>
        <v/>
      </c>
      <c r="K30" s="437"/>
      <c r="L30" s="437" t="str">
        <f>IF(AND('Mapa final'!$H$34="Baja",'Mapa final'!$L$34="Leve"),CONCATENATE("R",'Mapa final'!$A$34),"")</f>
        <v/>
      </c>
      <c r="M30" s="437"/>
      <c r="N30" s="437" t="str">
        <f>IF(AND('Mapa final'!$H$35="Baja",'Mapa final'!$L$35="Leve"),CONCATENATE("R",'Mapa final'!$A$35),"")</f>
        <v/>
      </c>
      <c r="O30" s="438"/>
      <c r="P30" s="428" t="str">
        <f>IF(AND('Mapa final'!$H$32="Baja",'Mapa final'!$L$32="Menor"),CONCATENATE("R",'Mapa final'!$A$32),"")</f>
        <v/>
      </c>
      <c r="Q30" s="428"/>
      <c r="R30" s="428" t="str">
        <f>IF(AND('Mapa final'!$H$34="Baja",'Mapa final'!$L$34="Menor"),CONCATENATE("R",'Mapa final'!$A$34),"")</f>
        <v/>
      </c>
      <c r="S30" s="428"/>
      <c r="T30" s="428" t="str">
        <f>IF(AND('Mapa final'!$H$35="Baja",'Mapa final'!$L$35="Menor"),CONCATENATE("R",'Mapa final'!$A$35),"")</f>
        <v/>
      </c>
      <c r="U30" s="429"/>
      <c r="V30" s="427" t="str">
        <f>IF(AND('Mapa final'!$H$32="Baja",'Mapa final'!$L$32="Moderado"),CONCATENATE("R",'Mapa final'!$A$32),"")</f>
        <v/>
      </c>
      <c r="W30" s="428"/>
      <c r="X30" s="428" t="str">
        <f>IF(AND('Mapa final'!$H$34="Baja",'Mapa final'!$L$34="Moderado"),CONCATENATE("R",'Mapa final'!$A$34),"")</f>
        <v/>
      </c>
      <c r="Y30" s="428"/>
      <c r="Z30" s="428" t="str">
        <f>IF(AND('Mapa final'!$H$35="Baja",'Mapa final'!$L$35="Moderado"),CONCATENATE("R",'Mapa final'!$A$35),"")</f>
        <v/>
      </c>
      <c r="AA30" s="429"/>
      <c r="AB30" s="403" t="str">
        <f>IF(AND('Mapa final'!$H$32="Baja",'Mapa final'!$L$32="Mayor"),CONCATENATE("R",'Mapa final'!$A$32),"")</f>
        <v/>
      </c>
      <c r="AC30" s="404"/>
      <c r="AD30" s="404" t="str">
        <f>IF(AND('Mapa final'!$H$34="Baja",'Mapa final'!$L$34="Mayor"),CONCATENATE("R",'Mapa final'!$A$34),"")</f>
        <v/>
      </c>
      <c r="AE30" s="404"/>
      <c r="AF30" s="404" t="str">
        <f>IF(AND('Mapa final'!$H$35="Baja",'Mapa final'!$L$35="Mayor"),CONCATENATE("R",'Mapa final'!$A$35),"")</f>
        <v/>
      </c>
      <c r="AG30" s="406"/>
      <c r="AH30" s="418" t="str">
        <f>IF(AND('Mapa final'!$H$32="Baja",'Mapa final'!$L$32="Catastrófico"),CONCATENATE("R",'Mapa final'!$A$32),"")</f>
        <v/>
      </c>
      <c r="AI30" s="419"/>
      <c r="AJ30" s="419" t="str">
        <f>IF(AND('Mapa final'!$H$34="Baja",'Mapa final'!$L$34="Catastrófico"),CONCATENATE("R",'Mapa final'!$A$34),"")</f>
        <v/>
      </c>
      <c r="AK30" s="419"/>
      <c r="AL30" s="419" t="str">
        <f>IF(AND('Mapa final'!$H$35="Baja",'Mapa final'!$L$35="Catastrófico"),CONCATENATE("R",'Mapa final'!$A$35),"")</f>
        <v/>
      </c>
      <c r="AM30" s="420"/>
      <c r="AN30" s="81"/>
      <c r="AO30" s="383" t="s">
        <v>191</v>
      </c>
      <c r="AP30" s="384"/>
      <c r="AQ30" s="384"/>
      <c r="AR30" s="384"/>
      <c r="AS30" s="384"/>
      <c r="AT30" s="385"/>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354"/>
      <c r="C31" s="354"/>
      <c r="D31" s="355"/>
      <c r="E31" s="395"/>
      <c r="F31" s="396"/>
      <c r="G31" s="396"/>
      <c r="H31" s="396"/>
      <c r="I31" s="396"/>
      <c r="J31" s="432"/>
      <c r="K31" s="430"/>
      <c r="L31" s="430"/>
      <c r="M31" s="430"/>
      <c r="N31" s="430"/>
      <c r="O31" s="431"/>
      <c r="P31" s="422"/>
      <c r="Q31" s="422"/>
      <c r="R31" s="422"/>
      <c r="S31" s="422"/>
      <c r="T31" s="422"/>
      <c r="U31" s="423"/>
      <c r="V31" s="421"/>
      <c r="W31" s="422"/>
      <c r="X31" s="422"/>
      <c r="Y31" s="422"/>
      <c r="Z31" s="422"/>
      <c r="AA31" s="423"/>
      <c r="AB31" s="405"/>
      <c r="AC31" s="401"/>
      <c r="AD31" s="401"/>
      <c r="AE31" s="401"/>
      <c r="AF31" s="401"/>
      <c r="AG31" s="402"/>
      <c r="AH31" s="412"/>
      <c r="AI31" s="413"/>
      <c r="AJ31" s="413"/>
      <c r="AK31" s="413"/>
      <c r="AL31" s="413"/>
      <c r="AM31" s="414"/>
      <c r="AN31" s="81"/>
      <c r="AO31" s="386"/>
      <c r="AP31" s="387"/>
      <c r="AQ31" s="387"/>
      <c r="AR31" s="387"/>
      <c r="AS31" s="387"/>
      <c r="AT31" s="388"/>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354"/>
      <c r="C32" s="354"/>
      <c r="D32" s="355"/>
      <c r="E32" s="395"/>
      <c r="F32" s="396"/>
      <c r="G32" s="396"/>
      <c r="H32" s="396"/>
      <c r="I32" s="396"/>
      <c r="J32" s="432" t="str">
        <f>IF(AND('Mapa final'!$H$36="Baja",'Mapa final'!$L$36="Leve"),CONCATENATE("R",'Mapa final'!$A$36),"")</f>
        <v/>
      </c>
      <c r="K32" s="430"/>
      <c r="L32" s="430" t="str">
        <f>IF(AND('Mapa final'!$H$37="Baja",'Mapa final'!$L$37="Leve"),CONCATENATE("R",'Mapa final'!$A$37),"")</f>
        <v/>
      </c>
      <c r="M32" s="430"/>
      <c r="N32" s="430" t="e">
        <f>IF(AND('Mapa final'!#REF!="Baja",'Mapa final'!#REF!="Leve"),CONCATENATE("R",'Mapa final'!#REF!),"")</f>
        <v>#REF!</v>
      </c>
      <c r="O32" s="431"/>
      <c r="P32" s="422" t="str">
        <f>IF(AND('Mapa final'!$H$36="Baja",'Mapa final'!$L$36="Menor"),CONCATENATE("R",'Mapa final'!$A$36),"")</f>
        <v/>
      </c>
      <c r="Q32" s="422"/>
      <c r="R32" s="422" t="str">
        <f>IF(AND('Mapa final'!$H$37="Baja",'Mapa final'!$L$37="Menor"),CONCATENATE("R",'Mapa final'!$A$37),"")</f>
        <v/>
      </c>
      <c r="S32" s="422"/>
      <c r="T32" s="422" t="e">
        <f>IF(AND('Mapa final'!#REF!="Baja",'Mapa final'!#REF!="Menor"),CONCATENATE("R",'Mapa final'!#REF!),"")</f>
        <v>#REF!</v>
      </c>
      <c r="U32" s="423"/>
      <c r="V32" s="421" t="str">
        <f>IF(AND('Mapa final'!$H$36="Baja",'Mapa final'!$L$36="Moderado"),CONCATENATE("R",'Mapa final'!$A$36),"")</f>
        <v/>
      </c>
      <c r="W32" s="422"/>
      <c r="X32" s="422" t="str">
        <f>IF(AND('Mapa final'!$H$37="Baja",'Mapa final'!$L$37="Moderado"),CONCATENATE("R",'Mapa final'!$A$37),"")</f>
        <v/>
      </c>
      <c r="Y32" s="422"/>
      <c r="Z32" s="422" t="e">
        <f>IF(AND('Mapa final'!#REF!="Baja",'Mapa final'!#REF!="Moderado"),CONCATENATE("R",'Mapa final'!#REF!),"")</f>
        <v>#REF!</v>
      </c>
      <c r="AA32" s="423"/>
      <c r="AB32" s="405" t="str">
        <f>IF(AND('Mapa final'!$H$36="Baja",'Mapa final'!$L$36="Mayor"),CONCATENATE("R",'Mapa final'!$A$36),"")</f>
        <v/>
      </c>
      <c r="AC32" s="401"/>
      <c r="AD32" s="401" t="str">
        <f>IF(AND('Mapa final'!$H$37="Baja",'Mapa final'!$L$37="Mayor"),CONCATENATE("R",'Mapa final'!$A$37),"")</f>
        <v/>
      </c>
      <c r="AE32" s="401"/>
      <c r="AF32" s="401" t="e">
        <f>IF(AND('Mapa final'!#REF!="Baja",'Mapa final'!#REF!="Mayor"),CONCATENATE("R",'Mapa final'!#REF!),"")</f>
        <v>#REF!</v>
      </c>
      <c r="AG32" s="402"/>
      <c r="AH32" s="412" t="str">
        <f>IF(AND('Mapa final'!$H$36="Baja",'Mapa final'!$L$36="Catastrófico"),CONCATENATE("R",'Mapa final'!$A$36),"")</f>
        <v/>
      </c>
      <c r="AI32" s="413"/>
      <c r="AJ32" s="413" t="str">
        <f>IF(AND('Mapa final'!$H$37="Baja",'Mapa final'!$L$37="Catastrófico"),CONCATENATE("R",'Mapa final'!$A$37),"")</f>
        <v/>
      </c>
      <c r="AK32" s="413"/>
      <c r="AL32" s="413" t="e">
        <f>IF(AND('Mapa final'!#REF!="Baja",'Mapa final'!#REF!="Catastrófico"),CONCATENATE("R",'Mapa final'!#REF!),"")</f>
        <v>#REF!</v>
      </c>
      <c r="AM32" s="414"/>
      <c r="AN32" s="81"/>
      <c r="AO32" s="386"/>
      <c r="AP32" s="387"/>
      <c r="AQ32" s="387"/>
      <c r="AR32" s="387"/>
      <c r="AS32" s="387"/>
      <c r="AT32" s="388"/>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354"/>
      <c r="C33" s="354"/>
      <c r="D33" s="355"/>
      <c r="E33" s="395"/>
      <c r="F33" s="396"/>
      <c r="G33" s="396"/>
      <c r="H33" s="396"/>
      <c r="I33" s="396"/>
      <c r="J33" s="432"/>
      <c r="K33" s="430"/>
      <c r="L33" s="430"/>
      <c r="M33" s="430"/>
      <c r="N33" s="430"/>
      <c r="O33" s="431"/>
      <c r="P33" s="422"/>
      <c r="Q33" s="422"/>
      <c r="R33" s="422"/>
      <c r="S33" s="422"/>
      <c r="T33" s="422"/>
      <c r="U33" s="423"/>
      <c r="V33" s="421"/>
      <c r="W33" s="422"/>
      <c r="X33" s="422"/>
      <c r="Y33" s="422"/>
      <c r="Z33" s="422"/>
      <c r="AA33" s="423"/>
      <c r="AB33" s="405"/>
      <c r="AC33" s="401"/>
      <c r="AD33" s="401"/>
      <c r="AE33" s="401"/>
      <c r="AF33" s="401"/>
      <c r="AG33" s="402"/>
      <c r="AH33" s="412"/>
      <c r="AI33" s="413"/>
      <c r="AJ33" s="413"/>
      <c r="AK33" s="413"/>
      <c r="AL33" s="413"/>
      <c r="AM33" s="414"/>
      <c r="AN33" s="81"/>
      <c r="AO33" s="386"/>
      <c r="AP33" s="387"/>
      <c r="AQ33" s="387"/>
      <c r="AR33" s="387"/>
      <c r="AS33" s="387"/>
      <c r="AT33" s="388"/>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354"/>
      <c r="C34" s="354"/>
      <c r="D34" s="355"/>
      <c r="E34" s="395"/>
      <c r="F34" s="396"/>
      <c r="G34" s="396"/>
      <c r="H34" s="396"/>
      <c r="I34" s="396"/>
      <c r="J34" s="432" t="e">
        <f>IF(AND('Mapa final'!#REF!="Baja",'Mapa final'!#REF!="Leve"),CONCATENATE("R",'Mapa final'!#REF!),"")</f>
        <v>#REF!</v>
      </c>
      <c r="K34" s="430"/>
      <c r="L34" s="430" t="str">
        <f>IF(AND('Mapa final'!$H$38="Baja",'Mapa final'!$L$38="Leve"),CONCATENATE("R",'Mapa final'!$A$38),"")</f>
        <v/>
      </c>
      <c r="M34" s="430"/>
      <c r="N34" s="430" t="str">
        <f>IF(AND('Mapa final'!$H$44="Baja",'Mapa final'!$L$44="Leve"),CONCATENATE("R",'Mapa final'!$A$44),"")</f>
        <v/>
      </c>
      <c r="O34" s="431"/>
      <c r="P34" s="422" t="e">
        <f>IF(AND('Mapa final'!#REF!="Baja",'Mapa final'!#REF!="Menor"),CONCATENATE("R",'Mapa final'!#REF!),"")</f>
        <v>#REF!</v>
      </c>
      <c r="Q34" s="422"/>
      <c r="R34" s="422" t="str">
        <f>IF(AND('Mapa final'!$H$38="Baja",'Mapa final'!$L$38="Menor"),CONCATENATE("R",'Mapa final'!$A$38),"")</f>
        <v/>
      </c>
      <c r="S34" s="422"/>
      <c r="T34" s="422" t="str">
        <f>IF(AND('Mapa final'!$H$44="Baja",'Mapa final'!$L$44="Menor"),CONCATENATE("R",'Mapa final'!$A$44),"")</f>
        <v/>
      </c>
      <c r="U34" s="423"/>
      <c r="V34" s="421" t="e">
        <f>IF(AND('Mapa final'!#REF!="Baja",'Mapa final'!#REF!="Moderado"),CONCATENATE("R",'Mapa final'!#REF!),"")</f>
        <v>#REF!</v>
      </c>
      <c r="W34" s="422"/>
      <c r="X34" s="422" t="str">
        <f>IF(AND('Mapa final'!$H$38="Baja",'Mapa final'!$L$38="Moderado"),CONCATENATE("R",'Mapa final'!$A$38),"")</f>
        <v/>
      </c>
      <c r="Y34" s="422"/>
      <c r="Z34" s="422" t="str">
        <f>IF(AND('Mapa final'!$H$44="Baja",'Mapa final'!$L$44="Moderado"),CONCATENATE("R",'Mapa final'!$A$44),"")</f>
        <v/>
      </c>
      <c r="AA34" s="423"/>
      <c r="AB34" s="405" t="e">
        <f>IF(AND('Mapa final'!#REF!="Baja",'Mapa final'!#REF!="Mayor"),CONCATENATE("R",'Mapa final'!#REF!),"")</f>
        <v>#REF!</v>
      </c>
      <c r="AC34" s="401"/>
      <c r="AD34" s="401" t="str">
        <f>IF(AND('Mapa final'!$H$38="Baja",'Mapa final'!$L$38="Mayor"),CONCATENATE("R",'Mapa final'!$A$38),"")</f>
        <v/>
      </c>
      <c r="AE34" s="401"/>
      <c r="AF34" s="401" t="str">
        <f>IF(AND('Mapa final'!$H$44="Baja",'Mapa final'!$L$44="Mayor"),CONCATENATE("R",'Mapa final'!$A$44),"")</f>
        <v/>
      </c>
      <c r="AG34" s="402"/>
      <c r="AH34" s="412" t="e">
        <f>IF(AND('Mapa final'!#REF!="Baja",'Mapa final'!#REF!="Catastrófico"),CONCATENATE("R",'Mapa final'!#REF!),"")</f>
        <v>#REF!</v>
      </c>
      <c r="AI34" s="413"/>
      <c r="AJ34" s="413" t="str">
        <f>IF(AND('Mapa final'!$H$38="Baja",'Mapa final'!$L$38="Catastrófico"),CONCATENATE("R",'Mapa final'!$A$38),"")</f>
        <v/>
      </c>
      <c r="AK34" s="413"/>
      <c r="AL34" s="413" t="str">
        <f>IF(AND('Mapa final'!$H$44="Baja",'Mapa final'!$L$44="Catastrófico"),CONCATENATE("R",'Mapa final'!$A$44),"")</f>
        <v/>
      </c>
      <c r="AM34" s="414"/>
      <c r="AN34" s="81"/>
      <c r="AO34" s="386"/>
      <c r="AP34" s="387"/>
      <c r="AQ34" s="387"/>
      <c r="AR34" s="387"/>
      <c r="AS34" s="387"/>
      <c r="AT34" s="388"/>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354"/>
      <c r="C35" s="354"/>
      <c r="D35" s="355"/>
      <c r="E35" s="395"/>
      <c r="F35" s="396"/>
      <c r="G35" s="396"/>
      <c r="H35" s="396"/>
      <c r="I35" s="396"/>
      <c r="J35" s="432"/>
      <c r="K35" s="430"/>
      <c r="L35" s="430"/>
      <c r="M35" s="430"/>
      <c r="N35" s="430"/>
      <c r="O35" s="431"/>
      <c r="P35" s="422"/>
      <c r="Q35" s="422"/>
      <c r="R35" s="422"/>
      <c r="S35" s="422"/>
      <c r="T35" s="422"/>
      <c r="U35" s="423"/>
      <c r="V35" s="421"/>
      <c r="W35" s="422"/>
      <c r="X35" s="422"/>
      <c r="Y35" s="422"/>
      <c r="Z35" s="422"/>
      <c r="AA35" s="423"/>
      <c r="AB35" s="405"/>
      <c r="AC35" s="401"/>
      <c r="AD35" s="401"/>
      <c r="AE35" s="401"/>
      <c r="AF35" s="401"/>
      <c r="AG35" s="402"/>
      <c r="AH35" s="412"/>
      <c r="AI35" s="413"/>
      <c r="AJ35" s="413"/>
      <c r="AK35" s="413"/>
      <c r="AL35" s="413"/>
      <c r="AM35" s="414"/>
      <c r="AN35" s="81"/>
      <c r="AO35" s="386"/>
      <c r="AP35" s="387"/>
      <c r="AQ35" s="387"/>
      <c r="AR35" s="387"/>
      <c r="AS35" s="387"/>
      <c r="AT35" s="388"/>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354"/>
      <c r="C36" s="354"/>
      <c r="D36" s="355"/>
      <c r="E36" s="395"/>
      <c r="F36" s="396"/>
      <c r="G36" s="396"/>
      <c r="H36" s="396"/>
      <c r="I36" s="396"/>
      <c r="J36" s="432" t="str">
        <f>IF(AND('Mapa final'!$H$50="Baja",'Mapa final'!$L$50="Leve"),CONCATENATE("R",'Mapa final'!$A$50),"")</f>
        <v/>
      </c>
      <c r="K36" s="430"/>
      <c r="L36" s="430" t="str">
        <f>IF(AND('Mapa final'!$H$55="Baja",'Mapa final'!$L$55="Leve"),CONCATENATE("R",'Mapa final'!$A$55),"")</f>
        <v/>
      </c>
      <c r="M36" s="430"/>
      <c r="N36" s="430" t="str">
        <f>IF(AND('Mapa final'!$H$61="Baja",'Mapa final'!$L$61="Leve"),CONCATENATE("R",'Mapa final'!$A$61),"")</f>
        <v/>
      </c>
      <c r="O36" s="431"/>
      <c r="P36" s="422" t="str">
        <f>IF(AND('Mapa final'!$H$50="Baja",'Mapa final'!$L$50="Menor"),CONCATENATE("R",'Mapa final'!$A$50),"")</f>
        <v/>
      </c>
      <c r="Q36" s="422"/>
      <c r="R36" s="422" t="str">
        <f>IF(AND('Mapa final'!$H$55="Baja",'Mapa final'!$L$55="Menor"),CONCATENATE("R",'Mapa final'!$A$55),"")</f>
        <v/>
      </c>
      <c r="S36" s="422"/>
      <c r="T36" s="422" t="str">
        <f>IF(AND('Mapa final'!$H$61="Baja",'Mapa final'!$L$61="Menor"),CONCATENATE("R",'Mapa final'!$A$61),"")</f>
        <v/>
      </c>
      <c r="U36" s="423"/>
      <c r="V36" s="421" t="str">
        <f>IF(AND('Mapa final'!$H$50="Baja",'Mapa final'!$L$50="Moderado"),CONCATENATE("R",'Mapa final'!$A$50),"")</f>
        <v/>
      </c>
      <c r="W36" s="422"/>
      <c r="X36" s="422" t="str">
        <f>IF(AND('Mapa final'!$H$55="Baja",'Mapa final'!$L$55="Moderado"),CONCATENATE("R",'Mapa final'!$A$55),"")</f>
        <v/>
      </c>
      <c r="Y36" s="422"/>
      <c r="Z36" s="422" t="str">
        <f>IF(AND('Mapa final'!$H$61="Baja",'Mapa final'!$L$61="Moderado"),CONCATENATE("R",'Mapa final'!$A$61),"")</f>
        <v/>
      </c>
      <c r="AA36" s="423"/>
      <c r="AB36" s="405" t="str">
        <f>IF(AND('Mapa final'!$H$50="Baja",'Mapa final'!$L$50="Mayor"),CONCATENATE("R",'Mapa final'!$A$50),"")</f>
        <v/>
      </c>
      <c r="AC36" s="401"/>
      <c r="AD36" s="401" t="str">
        <f>IF(AND('Mapa final'!$H$55="Baja",'Mapa final'!$L$55="Mayor"),CONCATENATE("R",'Mapa final'!$A$55),"")</f>
        <v/>
      </c>
      <c r="AE36" s="401"/>
      <c r="AF36" s="401" t="str">
        <f>IF(AND('Mapa final'!$H$61="Baja",'Mapa final'!$L$61="Mayor"),CONCATENATE("R",'Mapa final'!$A$61),"")</f>
        <v/>
      </c>
      <c r="AG36" s="402"/>
      <c r="AH36" s="412" t="str">
        <f>IF(AND('Mapa final'!$H$50="Baja",'Mapa final'!$L$50="Catastrófico"),CONCATENATE("R",'Mapa final'!$A$50),"")</f>
        <v/>
      </c>
      <c r="AI36" s="413"/>
      <c r="AJ36" s="413" t="str">
        <f>IF(AND('Mapa final'!$H$55="Baja",'Mapa final'!$L$55="Catastrófico"),CONCATENATE("R",'Mapa final'!$A$55),"")</f>
        <v/>
      </c>
      <c r="AK36" s="413"/>
      <c r="AL36" s="413" t="str">
        <f>IF(AND('Mapa final'!$H$61="Baja",'Mapa final'!$L$61="Catastrófico"),CONCATENATE("R",'Mapa final'!$A$61),"")</f>
        <v/>
      </c>
      <c r="AM36" s="414"/>
      <c r="AN36" s="81"/>
      <c r="AO36" s="386"/>
      <c r="AP36" s="387"/>
      <c r="AQ36" s="387"/>
      <c r="AR36" s="387"/>
      <c r="AS36" s="387"/>
      <c r="AT36" s="388"/>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354"/>
      <c r="C37" s="354"/>
      <c r="D37" s="355"/>
      <c r="E37" s="398"/>
      <c r="F37" s="399"/>
      <c r="G37" s="399"/>
      <c r="H37" s="399"/>
      <c r="I37" s="399"/>
      <c r="J37" s="433"/>
      <c r="K37" s="434"/>
      <c r="L37" s="434"/>
      <c r="M37" s="434"/>
      <c r="N37" s="434"/>
      <c r="O37" s="435"/>
      <c r="P37" s="425"/>
      <c r="Q37" s="425"/>
      <c r="R37" s="425"/>
      <c r="S37" s="425"/>
      <c r="T37" s="425"/>
      <c r="U37" s="426"/>
      <c r="V37" s="424"/>
      <c r="W37" s="425"/>
      <c r="X37" s="425"/>
      <c r="Y37" s="425"/>
      <c r="Z37" s="425"/>
      <c r="AA37" s="426"/>
      <c r="AB37" s="409"/>
      <c r="AC37" s="410"/>
      <c r="AD37" s="410"/>
      <c r="AE37" s="410"/>
      <c r="AF37" s="410"/>
      <c r="AG37" s="411"/>
      <c r="AH37" s="415"/>
      <c r="AI37" s="416"/>
      <c r="AJ37" s="416"/>
      <c r="AK37" s="416"/>
      <c r="AL37" s="416"/>
      <c r="AM37" s="417"/>
      <c r="AN37" s="81"/>
      <c r="AO37" s="389"/>
      <c r="AP37" s="390"/>
      <c r="AQ37" s="390"/>
      <c r="AR37" s="390"/>
      <c r="AS37" s="390"/>
      <c r="AT37" s="39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354"/>
      <c r="C38" s="354"/>
      <c r="D38" s="355"/>
      <c r="E38" s="392" t="s">
        <v>192</v>
      </c>
      <c r="F38" s="393"/>
      <c r="G38" s="393"/>
      <c r="H38" s="393"/>
      <c r="I38" s="394"/>
      <c r="J38" s="436" t="str">
        <f>IF(AND('Mapa final'!$H$32="Muy Baja",'Mapa final'!$L$32="Leve"),CONCATENATE("R",'Mapa final'!$A$32),"")</f>
        <v/>
      </c>
      <c r="K38" s="437"/>
      <c r="L38" s="437" t="str">
        <f>IF(AND('Mapa final'!$H$34="Muy Baja",'Mapa final'!$L$34="Leve"),CONCATENATE("R",'Mapa final'!$A$34),"")</f>
        <v/>
      </c>
      <c r="M38" s="437"/>
      <c r="N38" s="437" t="str">
        <f>IF(AND('Mapa final'!$H$35="Muy Baja",'Mapa final'!$L$35="Leve"),CONCATENATE("R",'Mapa final'!$A$35),"")</f>
        <v/>
      </c>
      <c r="O38" s="438"/>
      <c r="P38" s="436" t="str">
        <f>IF(AND('Mapa final'!$H$32="Muy Baja",'Mapa final'!$L$32="Menor"),CONCATENATE("R",'Mapa final'!$A$32),"")</f>
        <v>R1</v>
      </c>
      <c r="Q38" s="437"/>
      <c r="R38" s="437" t="str">
        <f>IF(AND('Mapa final'!$H$34="Muy Baja",'Mapa final'!$L$34="Menor"),CONCATENATE("R",'Mapa final'!$A$34),"")</f>
        <v/>
      </c>
      <c r="S38" s="437"/>
      <c r="T38" s="437" t="str">
        <f>IF(AND('Mapa final'!$H$35="Muy Baja",'Mapa final'!$L$35="Menor"),CONCATENATE("R",'Mapa final'!$A$35),"")</f>
        <v/>
      </c>
      <c r="U38" s="438"/>
      <c r="V38" s="427" t="str">
        <f>IF(AND('Mapa final'!$H$32="Muy Baja",'Mapa final'!$L$32="Moderado"),CONCATENATE("R",'Mapa final'!$A$32),"")</f>
        <v/>
      </c>
      <c r="W38" s="428"/>
      <c r="X38" s="428" t="str">
        <f>IF(AND('Mapa final'!$H$34="Muy Baja",'Mapa final'!$L$34="Moderado"),CONCATENATE("R",'Mapa final'!$A$34),"")</f>
        <v/>
      </c>
      <c r="Y38" s="428"/>
      <c r="Z38" s="428" t="str">
        <f>IF(AND('Mapa final'!$H$35="Muy Baja",'Mapa final'!$L$35="Moderado"),CONCATENATE("R",'Mapa final'!$A$35),"")</f>
        <v/>
      </c>
      <c r="AA38" s="429"/>
      <c r="AB38" s="403" t="str">
        <f>IF(AND('Mapa final'!$H$32="Muy Baja",'Mapa final'!$L$32="Mayor"),CONCATENATE("R",'Mapa final'!$A$32),"")</f>
        <v/>
      </c>
      <c r="AC38" s="404"/>
      <c r="AD38" s="404" t="str">
        <f>IF(AND('Mapa final'!$H$34="Muy Baja",'Mapa final'!$L$34="Mayor"),CONCATENATE("R",'Mapa final'!$A$34),"")</f>
        <v/>
      </c>
      <c r="AE38" s="404"/>
      <c r="AF38" s="404" t="str">
        <f>IF(AND('Mapa final'!$H$35="Muy Baja",'Mapa final'!$L$35="Mayor"),CONCATENATE("R",'Mapa final'!$A$35),"")</f>
        <v/>
      </c>
      <c r="AG38" s="406"/>
      <c r="AH38" s="418" t="str">
        <f>IF(AND('Mapa final'!$H$32="Muy Baja",'Mapa final'!$L$32="Catastrófico"),CONCATENATE("R",'Mapa final'!$A$32),"")</f>
        <v/>
      </c>
      <c r="AI38" s="419"/>
      <c r="AJ38" s="419" t="str">
        <f>IF(AND('Mapa final'!$H$34="Muy Baja",'Mapa final'!$L$34="Catastrófico"),CONCATENATE("R",'Mapa final'!$A$34),"")</f>
        <v/>
      </c>
      <c r="AK38" s="419"/>
      <c r="AL38" s="419" t="str">
        <f>IF(AND('Mapa final'!$H$35="Muy Baja",'Mapa final'!$L$35="Catastrófico"),CONCATENATE("R",'Mapa final'!$A$35),"")</f>
        <v/>
      </c>
      <c r="AM38" s="420"/>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354"/>
      <c r="C39" s="354"/>
      <c r="D39" s="355"/>
      <c r="E39" s="395"/>
      <c r="F39" s="396"/>
      <c r="G39" s="396"/>
      <c r="H39" s="396"/>
      <c r="I39" s="397"/>
      <c r="J39" s="432"/>
      <c r="K39" s="430"/>
      <c r="L39" s="430"/>
      <c r="M39" s="430"/>
      <c r="N39" s="430"/>
      <c r="O39" s="431"/>
      <c r="P39" s="432"/>
      <c r="Q39" s="430"/>
      <c r="R39" s="430"/>
      <c r="S39" s="430"/>
      <c r="T39" s="430"/>
      <c r="U39" s="431"/>
      <c r="V39" s="421"/>
      <c r="W39" s="422"/>
      <c r="X39" s="422"/>
      <c r="Y39" s="422"/>
      <c r="Z39" s="422"/>
      <c r="AA39" s="423"/>
      <c r="AB39" s="405"/>
      <c r="AC39" s="401"/>
      <c r="AD39" s="401"/>
      <c r="AE39" s="401"/>
      <c r="AF39" s="401"/>
      <c r="AG39" s="402"/>
      <c r="AH39" s="412"/>
      <c r="AI39" s="413"/>
      <c r="AJ39" s="413"/>
      <c r="AK39" s="413"/>
      <c r="AL39" s="413"/>
      <c r="AM39" s="414"/>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354"/>
      <c r="C40" s="354"/>
      <c r="D40" s="355"/>
      <c r="E40" s="395"/>
      <c r="F40" s="396"/>
      <c r="G40" s="396"/>
      <c r="H40" s="396"/>
      <c r="I40" s="397"/>
      <c r="J40" s="432" t="str">
        <f>IF(AND('Mapa final'!$H$36="Muy Baja",'Mapa final'!$L$36="Leve"),CONCATENATE("R",'Mapa final'!$A$36),"")</f>
        <v/>
      </c>
      <c r="K40" s="430"/>
      <c r="L40" s="430" t="str">
        <f>IF(AND('Mapa final'!$H$37="Muy Baja",'Mapa final'!$L$37="Leve"),CONCATENATE("R",'Mapa final'!$A$37),"")</f>
        <v/>
      </c>
      <c r="M40" s="430"/>
      <c r="N40" s="430" t="e">
        <f>IF(AND('Mapa final'!#REF!="Muy Baja",'Mapa final'!#REF!="Leve"),CONCATENATE("R",'Mapa final'!#REF!),"")</f>
        <v>#REF!</v>
      </c>
      <c r="O40" s="431"/>
      <c r="P40" s="432" t="str">
        <f>IF(AND('Mapa final'!$H$36="Muy Baja",'Mapa final'!$L$36="Menor"),CONCATENATE("R",'Mapa final'!$A$36),"")</f>
        <v/>
      </c>
      <c r="Q40" s="430"/>
      <c r="R40" s="430" t="str">
        <f>IF(AND('Mapa final'!$H$37="Muy Baja",'Mapa final'!$L$37="Menor"),CONCATENATE("R",'Mapa final'!$A$37),"")</f>
        <v/>
      </c>
      <c r="S40" s="430"/>
      <c r="T40" s="430" t="e">
        <f>IF(AND('Mapa final'!#REF!="Muy Baja",'Mapa final'!#REF!="Menor"),CONCATENATE("R",'Mapa final'!#REF!),"")</f>
        <v>#REF!</v>
      </c>
      <c r="U40" s="431"/>
      <c r="V40" s="421" t="str">
        <f>IF(AND('Mapa final'!$H$36="Muy Baja",'Mapa final'!$L$36="Moderado"),CONCATENATE("R",'Mapa final'!$A$36),"")</f>
        <v>R4</v>
      </c>
      <c r="W40" s="422"/>
      <c r="X40" s="422" t="str">
        <f>IF(AND('Mapa final'!$H$37="Muy Baja",'Mapa final'!$L$37="Moderado"),CONCATENATE("R",'Mapa final'!$A$37),"")</f>
        <v/>
      </c>
      <c r="Y40" s="422"/>
      <c r="Z40" s="422" t="e">
        <f>IF(AND('Mapa final'!#REF!="Muy Baja",'Mapa final'!#REF!="Moderado"),CONCATENATE("R",'Mapa final'!#REF!),"")</f>
        <v>#REF!</v>
      </c>
      <c r="AA40" s="423"/>
      <c r="AB40" s="405" t="str">
        <f>IF(AND('Mapa final'!$H$36="Muy Baja",'Mapa final'!$L$36="Mayor"),CONCATENATE("R",'Mapa final'!$A$36),"")</f>
        <v/>
      </c>
      <c r="AC40" s="401"/>
      <c r="AD40" s="401" t="str">
        <f>IF(AND('Mapa final'!$H$37="Muy Baja",'Mapa final'!$L$37="Mayor"),CONCATENATE("R",'Mapa final'!$A$37),"")</f>
        <v/>
      </c>
      <c r="AE40" s="401"/>
      <c r="AF40" s="401" t="e">
        <f>IF(AND('Mapa final'!#REF!="Muy Baja",'Mapa final'!#REF!="Mayor"),CONCATENATE("R",'Mapa final'!#REF!),"")</f>
        <v>#REF!</v>
      </c>
      <c r="AG40" s="402"/>
      <c r="AH40" s="412" t="str">
        <f>IF(AND('Mapa final'!$H$36="Muy Baja",'Mapa final'!$L$36="Catastrófico"),CONCATENATE("R",'Mapa final'!$A$36),"")</f>
        <v/>
      </c>
      <c r="AI40" s="413"/>
      <c r="AJ40" s="413" t="str">
        <f>IF(AND('Mapa final'!$H$37="Muy Baja",'Mapa final'!$L$37="Catastrófico"),CONCATENATE("R",'Mapa final'!$A$37),"")</f>
        <v/>
      </c>
      <c r="AK40" s="413"/>
      <c r="AL40" s="413" t="e">
        <f>IF(AND('Mapa final'!#REF!="Muy Baja",'Mapa final'!#REF!="Catastrófico"),CONCATENATE("R",'Mapa final'!#REF!),"")</f>
        <v>#REF!</v>
      </c>
      <c r="AM40" s="414"/>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354"/>
      <c r="C41" s="354"/>
      <c r="D41" s="355"/>
      <c r="E41" s="395"/>
      <c r="F41" s="396"/>
      <c r="G41" s="396"/>
      <c r="H41" s="396"/>
      <c r="I41" s="397"/>
      <c r="J41" s="432"/>
      <c r="K41" s="430"/>
      <c r="L41" s="430"/>
      <c r="M41" s="430"/>
      <c r="N41" s="430"/>
      <c r="O41" s="431"/>
      <c r="P41" s="432"/>
      <c r="Q41" s="430"/>
      <c r="R41" s="430"/>
      <c r="S41" s="430"/>
      <c r="T41" s="430"/>
      <c r="U41" s="431"/>
      <c r="V41" s="421"/>
      <c r="W41" s="422"/>
      <c r="X41" s="422"/>
      <c r="Y41" s="422"/>
      <c r="Z41" s="422"/>
      <c r="AA41" s="423"/>
      <c r="AB41" s="405"/>
      <c r="AC41" s="401"/>
      <c r="AD41" s="401"/>
      <c r="AE41" s="401"/>
      <c r="AF41" s="401"/>
      <c r="AG41" s="402"/>
      <c r="AH41" s="412"/>
      <c r="AI41" s="413"/>
      <c r="AJ41" s="413"/>
      <c r="AK41" s="413"/>
      <c r="AL41" s="413"/>
      <c r="AM41" s="414"/>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354"/>
      <c r="C42" s="354"/>
      <c r="D42" s="355"/>
      <c r="E42" s="395"/>
      <c r="F42" s="396"/>
      <c r="G42" s="396"/>
      <c r="H42" s="396"/>
      <c r="I42" s="397"/>
      <c r="J42" s="432" t="e">
        <f>IF(AND('Mapa final'!#REF!="Muy Baja",'Mapa final'!#REF!="Leve"),CONCATENATE("R",'Mapa final'!#REF!),"")</f>
        <v>#REF!</v>
      </c>
      <c r="K42" s="430"/>
      <c r="L42" s="430" t="str">
        <f>IF(AND('Mapa final'!$H$38="Muy Baja",'Mapa final'!$L$38="Leve"),CONCATENATE("R",'Mapa final'!$A$38),"")</f>
        <v/>
      </c>
      <c r="M42" s="430"/>
      <c r="N42" s="430" t="str">
        <f>IF(AND('Mapa final'!$H$44="Muy Baja",'Mapa final'!$L$44="Leve"),CONCATENATE("R",'Mapa final'!$A$44),"")</f>
        <v/>
      </c>
      <c r="O42" s="431"/>
      <c r="P42" s="432" t="e">
        <f>IF(AND('Mapa final'!#REF!="Muy Baja",'Mapa final'!#REF!="Menor"),CONCATENATE("R",'Mapa final'!#REF!),"")</f>
        <v>#REF!</v>
      </c>
      <c r="Q42" s="430"/>
      <c r="R42" s="430" t="str">
        <f>IF(AND('Mapa final'!$H$38="Muy Baja",'Mapa final'!$L$38="Menor"),CONCATENATE("R",'Mapa final'!$A$38),"")</f>
        <v/>
      </c>
      <c r="S42" s="430"/>
      <c r="T42" s="430" t="str">
        <f>IF(AND('Mapa final'!$H$44="Muy Baja",'Mapa final'!$L$44="Menor"),CONCATENATE("R",'Mapa final'!$A$44),"")</f>
        <v/>
      </c>
      <c r="U42" s="431"/>
      <c r="V42" s="421" t="e">
        <f>IF(AND('Mapa final'!#REF!="Muy Baja",'Mapa final'!#REF!="Moderado"),CONCATENATE("R",'Mapa final'!#REF!),"")</f>
        <v>#REF!</v>
      </c>
      <c r="W42" s="422"/>
      <c r="X42" s="422" t="str">
        <f>IF(AND('Mapa final'!$H$38="Muy Baja",'Mapa final'!$L$38="Moderado"),CONCATENATE("R",'Mapa final'!$A$38),"")</f>
        <v/>
      </c>
      <c r="Y42" s="422"/>
      <c r="Z42" s="422" t="str">
        <f>IF(AND('Mapa final'!$H$44="Muy Baja",'Mapa final'!$L$44="Moderado"),CONCATENATE("R",'Mapa final'!$A$44),"")</f>
        <v/>
      </c>
      <c r="AA42" s="423"/>
      <c r="AB42" s="405" t="e">
        <f>IF(AND('Mapa final'!#REF!="Muy Baja",'Mapa final'!#REF!="Mayor"),CONCATENATE("R",'Mapa final'!#REF!),"")</f>
        <v>#REF!</v>
      </c>
      <c r="AC42" s="401"/>
      <c r="AD42" s="401" t="str">
        <f>IF(AND('Mapa final'!$H$38="Muy Baja",'Mapa final'!$L$38="Mayor"),CONCATENATE("R",'Mapa final'!$A$38),"")</f>
        <v/>
      </c>
      <c r="AE42" s="401"/>
      <c r="AF42" s="401" t="str">
        <f>IF(AND('Mapa final'!$H$44="Muy Baja",'Mapa final'!$L$44="Mayor"),CONCATENATE("R",'Mapa final'!$A$44),"")</f>
        <v/>
      </c>
      <c r="AG42" s="402"/>
      <c r="AH42" s="412" t="e">
        <f>IF(AND('Mapa final'!#REF!="Muy Baja",'Mapa final'!#REF!="Catastrófico"),CONCATENATE("R",'Mapa final'!#REF!),"")</f>
        <v>#REF!</v>
      </c>
      <c r="AI42" s="413"/>
      <c r="AJ42" s="413" t="str">
        <f>IF(AND('Mapa final'!$H$38="Muy Baja",'Mapa final'!$L$38="Catastrófico"),CONCATENATE("R",'Mapa final'!$A$38),"")</f>
        <v/>
      </c>
      <c r="AK42" s="413"/>
      <c r="AL42" s="413" t="str">
        <f>IF(AND('Mapa final'!$H$44="Muy Baja",'Mapa final'!$L$44="Catastrófico"),CONCATENATE("R",'Mapa final'!$A$44),"")</f>
        <v/>
      </c>
      <c r="AM42" s="414"/>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354"/>
      <c r="C43" s="354"/>
      <c r="D43" s="355"/>
      <c r="E43" s="395"/>
      <c r="F43" s="396"/>
      <c r="G43" s="396"/>
      <c r="H43" s="396"/>
      <c r="I43" s="397"/>
      <c r="J43" s="432"/>
      <c r="K43" s="430"/>
      <c r="L43" s="430"/>
      <c r="M43" s="430"/>
      <c r="N43" s="430"/>
      <c r="O43" s="431"/>
      <c r="P43" s="432"/>
      <c r="Q43" s="430"/>
      <c r="R43" s="430"/>
      <c r="S43" s="430"/>
      <c r="T43" s="430"/>
      <c r="U43" s="431"/>
      <c r="V43" s="421"/>
      <c r="W43" s="422"/>
      <c r="X43" s="422"/>
      <c r="Y43" s="422"/>
      <c r="Z43" s="422"/>
      <c r="AA43" s="423"/>
      <c r="AB43" s="405"/>
      <c r="AC43" s="401"/>
      <c r="AD43" s="401"/>
      <c r="AE43" s="401"/>
      <c r="AF43" s="401"/>
      <c r="AG43" s="402"/>
      <c r="AH43" s="412"/>
      <c r="AI43" s="413"/>
      <c r="AJ43" s="413"/>
      <c r="AK43" s="413"/>
      <c r="AL43" s="413"/>
      <c r="AM43" s="414"/>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354"/>
      <c r="C44" s="354"/>
      <c r="D44" s="355"/>
      <c r="E44" s="395"/>
      <c r="F44" s="396"/>
      <c r="G44" s="396"/>
      <c r="H44" s="396"/>
      <c r="I44" s="397"/>
      <c r="J44" s="432" t="str">
        <f>IF(AND('Mapa final'!$H$50="Muy Baja",'Mapa final'!$L$50="Leve"),CONCATENATE("R",'Mapa final'!$A$50),"")</f>
        <v/>
      </c>
      <c r="K44" s="430"/>
      <c r="L44" s="430" t="str">
        <f>IF(AND('Mapa final'!$H$55="Muy Baja",'Mapa final'!$L$55="Leve"),CONCATENATE("R",'Mapa final'!$A$55),"")</f>
        <v/>
      </c>
      <c r="M44" s="430"/>
      <c r="N44" s="430" t="str">
        <f>IF(AND('Mapa final'!$H$61="Muy Baja",'Mapa final'!$L$61="Leve"),CONCATENATE("R",'Mapa final'!$A$61),"")</f>
        <v/>
      </c>
      <c r="O44" s="431"/>
      <c r="P44" s="432" t="str">
        <f>IF(AND('Mapa final'!$H$50="Muy Baja",'Mapa final'!$L$50="Menor"),CONCATENATE("R",'Mapa final'!$A$50),"")</f>
        <v/>
      </c>
      <c r="Q44" s="430"/>
      <c r="R44" s="430" t="str">
        <f>IF(AND('Mapa final'!$H$55="Muy Baja",'Mapa final'!$L$55="Menor"),CONCATENATE("R",'Mapa final'!$A$55),"")</f>
        <v/>
      </c>
      <c r="S44" s="430"/>
      <c r="T44" s="430" t="str">
        <f>IF(AND('Mapa final'!$H$61="Muy Baja",'Mapa final'!$L$61="Menor"),CONCATENATE("R",'Mapa final'!$A$61),"")</f>
        <v/>
      </c>
      <c r="U44" s="431"/>
      <c r="V44" s="421" t="str">
        <f>IF(AND('Mapa final'!$H$50="Muy Baja",'Mapa final'!$L$50="Moderado"),CONCATENATE("R",'Mapa final'!$A$50),"")</f>
        <v/>
      </c>
      <c r="W44" s="422"/>
      <c r="X44" s="422" t="str">
        <f>IF(AND('Mapa final'!$H$55="Muy Baja",'Mapa final'!$L$55="Moderado"),CONCATENATE("R",'Mapa final'!$A$55),"")</f>
        <v/>
      </c>
      <c r="Y44" s="422"/>
      <c r="Z44" s="422" t="str">
        <f>IF(AND('Mapa final'!$H$61="Muy Baja",'Mapa final'!$L$61="Moderado"),CONCATENATE("R",'Mapa final'!$A$61),"")</f>
        <v/>
      </c>
      <c r="AA44" s="423"/>
      <c r="AB44" s="405" t="str">
        <f>IF(AND('Mapa final'!$H$50="Muy Baja",'Mapa final'!$L$50="Mayor"),CONCATENATE("R",'Mapa final'!$A$50),"")</f>
        <v/>
      </c>
      <c r="AC44" s="401"/>
      <c r="AD44" s="401" t="str">
        <f>IF(AND('Mapa final'!$H$55="Muy Baja",'Mapa final'!$L$55="Mayor"),CONCATENATE("R",'Mapa final'!$A$55),"")</f>
        <v/>
      </c>
      <c r="AE44" s="401"/>
      <c r="AF44" s="401" t="str">
        <f>IF(AND('Mapa final'!$H$61="Muy Baja",'Mapa final'!$L$61="Mayor"),CONCATENATE("R",'Mapa final'!$A$61),"")</f>
        <v/>
      </c>
      <c r="AG44" s="402"/>
      <c r="AH44" s="412" t="str">
        <f>IF(AND('Mapa final'!$H$50="Muy Baja",'Mapa final'!$L$50="Catastrófico"),CONCATENATE("R",'Mapa final'!$A$50),"")</f>
        <v/>
      </c>
      <c r="AI44" s="413"/>
      <c r="AJ44" s="413" t="str">
        <f>IF(AND('Mapa final'!$H$55="Muy Baja",'Mapa final'!$L$55="Catastrófico"),CONCATENATE("R",'Mapa final'!$A$55),"")</f>
        <v/>
      </c>
      <c r="AK44" s="413"/>
      <c r="AL44" s="413" t="str">
        <f>IF(AND('Mapa final'!$H$61="Muy Baja",'Mapa final'!$L$61="Catastrófico"),CONCATENATE("R",'Mapa final'!$A$61),"")</f>
        <v/>
      </c>
      <c r="AM44" s="414"/>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354"/>
      <c r="C45" s="354"/>
      <c r="D45" s="355"/>
      <c r="E45" s="398"/>
      <c r="F45" s="399"/>
      <c r="G45" s="399"/>
      <c r="H45" s="399"/>
      <c r="I45" s="400"/>
      <c r="J45" s="433"/>
      <c r="K45" s="434"/>
      <c r="L45" s="434"/>
      <c r="M45" s="434"/>
      <c r="N45" s="434"/>
      <c r="O45" s="435"/>
      <c r="P45" s="433"/>
      <c r="Q45" s="434"/>
      <c r="R45" s="434"/>
      <c r="S45" s="434"/>
      <c r="T45" s="434"/>
      <c r="U45" s="435"/>
      <c r="V45" s="424"/>
      <c r="W45" s="425"/>
      <c r="X45" s="425"/>
      <c r="Y45" s="425"/>
      <c r="Z45" s="425"/>
      <c r="AA45" s="426"/>
      <c r="AB45" s="409"/>
      <c r="AC45" s="410"/>
      <c r="AD45" s="410"/>
      <c r="AE45" s="410"/>
      <c r="AF45" s="410"/>
      <c r="AG45" s="411"/>
      <c r="AH45" s="415"/>
      <c r="AI45" s="416"/>
      <c r="AJ45" s="416"/>
      <c r="AK45" s="416"/>
      <c r="AL45" s="416"/>
      <c r="AM45" s="417"/>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392" t="s">
        <v>193</v>
      </c>
      <c r="K46" s="393"/>
      <c r="L46" s="393"/>
      <c r="M46" s="393"/>
      <c r="N46" s="393"/>
      <c r="O46" s="394"/>
      <c r="P46" s="392" t="s">
        <v>194</v>
      </c>
      <c r="Q46" s="393"/>
      <c r="R46" s="393"/>
      <c r="S46" s="393"/>
      <c r="T46" s="393"/>
      <c r="U46" s="394"/>
      <c r="V46" s="392" t="s">
        <v>195</v>
      </c>
      <c r="W46" s="393"/>
      <c r="X46" s="393"/>
      <c r="Y46" s="393"/>
      <c r="Z46" s="393"/>
      <c r="AA46" s="394"/>
      <c r="AB46" s="392" t="s">
        <v>196</v>
      </c>
      <c r="AC46" s="408"/>
      <c r="AD46" s="393"/>
      <c r="AE46" s="393"/>
      <c r="AF46" s="393"/>
      <c r="AG46" s="394"/>
      <c r="AH46" s="392" t="s">
        <v>197</v>
      </c>
      <c r="AI46" s="393"/>
      <c r="AJ46" s="393"/>
      <c r="AK46" s="393"/>
      <c r="AL46" s="393"/>
      <c r="AM46" s="394"/>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395"/>
      <c r="K47" s="396"/>
      <c r="L47" s="396"/>
      <c r="M47" s="396"/>
      <c r="N47" s="396"/>
      <c r="O47" s="397"/>
      <c r="P47" s="395"/>
      <c r="Q47" s="396"/>
      <c r="R47" s="396"/>
      <c r="S47" s="396"/>
      <c r="T47" s="396"/>
      <c r="U47" s="397"/>
      <c r="V47" s="395"/>
      <c r="W47" s="396"/>
      <c r="X47" s="396"/>
      <c r="Y47" s="396"/>
      <c r="Z47" s="396"/>
      <c r="AA47" s="397"/>
      <c r="AB47" s="395"/>
      <c r="AC47" s="396"/>
      <c r="AD47" s="396"/>
      <c r="AE47" s="396"/>
      <c r="AF47" s="396"/>
      <c r="AG47" s="397"/>
      <c r="AH47" s="395"/>
      <c r="AI47" s="396"/>
      <c r="AJ47" s="396"/>
      <c r="AK47" s="396"/>
      <c r="AL47" s="396"/>
      <c r="AM47" s="397"/>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395"/>
      <c r="K48" s="396"/>
      <c r="L48" s="396"/>
      <c r="M48" s="396"/>
      <c r="N48" s="396"/>
      <c r="O48" s="397"/>
      <c r="P48" s="395"/>
      <c r="Q48" s="396"/>
      <c r="R48" s="396"/>
      <c r="S48" s="396"/>
      <c r="T48" s="396"/>
      <c r="U48" s="397"/>
      <c r="V48" s="395"/>
      <c r="W48" s="396"/>
      <c r="X48" s="396"/>
      <c r="Y48" s="396"/>
      <c r="Z48" s="396"/>
      <c r="AA48" s="397"/>
      <c r="AB48" s="395"/>
      <c r="AC48" s="396"/>
      <c r="AD48" s="396"/>
      <c r="AE48" s="396"/>
      <c r="AF48" s="396"/>
      <c r="AG48" s="397"/>
      <c r="AH48" s="395"/>
      <c r="AI48" s="396"/>
      <c r="AJ48" s="396"/>
      <c r="AK48" s="396"/>
      <c r="AL48" s="396"/>
      <c r="AM48" s="397"/>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395"/>
      <c r="K49" s="396"/>
      <c r="L49" s="396"/>
      <c r="M49" s="396"/>
      <c r="N49" s="396"/>
      <c r="O49" s="397"/>
      <c r="P49" s="395"/>
      <c r="Q49" s="396"/>
      <c r="R49" s="396"/>
      <c r="S49" s="396"/>
      <c r="T49" s="396"/>
      <c r="U49" s="397"/>
      <c r="V49" s="395"/>
      <c r="W49" s="396"/>
      <c r="X49" s="396"/>
      <c r="Y49" s="396"/>
      <c r="Z49" s="396"/>
      <c r="AA49" s="397"/>
      <c r="AB49" s="395"/>
      <c r="AC49" s="396"/>
      <c r="AD49" s="396"/>
      <c r="AE49" s="396"/>
      <c r="AF49" s="396"/>
      <c r="AG49" s="397"/>
      <c r="AH49" s="395"/>
      <c r="AI49" s="396"/>
      <c r="AJ49" s="396"/>
      <c r="AK49" s="396"/>
      <c r="AL49" s="396"/>
      <c r="AM49" s="397"/>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395"/>
      <c r="K50" s="396"/>
      <c r="L50" s="396"/>
      <c r="M50" s="396"/>
      <c r="N50" s="396"/>
      <c r="O50" s="397"/>
      <c r="P50" s="395"/>
      <c r="Q50" s="396"/>
      <c r="R50" s="396"/>
      <c r="S50" s="396"/>
      <c r="T50" s="396"/>
      <c r="U50" s="397"/>
      <c r="V50" s="395"/>
      <c r="W50" s="396"/>
      <c r="X50" s="396"/>
      <c r="Y50" s="396"/>
      <c r="Z50" s="396"/>
      <c r="AA50" s="397"/>
      <c r="AB50" s="395"/>
      <c r="AC50" s="396"/>
      <c r="AD50" s="396"/>
      <c r="AE50" s="396"/>
      <c r="AF50" s="396"/>
      <c r="AG50" s="397"/>
      <c r="AH50" s="395"/>
      <c r="AI50" s="396"/>
      <c r="AJ50" s="396"/>
      <c r="AK50" s="396"/>
      <c r="AL50" s="396"/>
      <c r="AM50" s="397"/>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398"/>
      <c r="K51" s="399"/>
      <c r="L51" s="399"/>
      <c r="M51" s="399"/>
      <c r="N51" s="399"/>
      <c r="O51" s="400"/>
      <c r="P51" s="398"/>
      <c r="Q51" s="399"/>
      <c r="R51" s="399"/>
      <c r="S51" s="399"/>
      <c r="T51" s="399"/>
      <c r="U51" s="400"/>
      <c r="V51" s="398"/>
      <c r="W51" s="399"/>
      <c r="X51" s="399"/>
      <c r="Y51" s="399"/>
      <c r="Z51" s="399"/>
      <c r="AA51" s="400"/>
      <c r="AB51" s="398"/>
      <c r="AC51" s="399"/>
      <c r="AD51" s="399"/>
      <c r="AE51" s="399"/>
      <c r="AF51" s="399"/>
      <c r="AG51" s="400"/>
      <c r="AH51" s="398"/>
      <c r="AI51" s="399"/>
      <c r="AJ51" s="399"/>
      <c r="AK51" s="399"/>
      <c r="AL51" s="399"/>
      <c r="AM51" s="400"/>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465" t="s">
        <v>198</v>
      </c>
      <c r="C2" s="466"/>
      <c r="D2" s="466"/>
      <c r="E2" s="466"/>
      <c r="F2" s="466"/>
      <c r="G2" s="466"/>
      <c r="H2" s="466"/>
      <c r="I2" s="466"/>
      <c r="J2" s="407" t="s">
        <v>15</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466"/>
      <c r="C3" s="466"/>
      <c r="D3" s="466"/>
      <c r="E3" s="466"/>
      <c r="F3" s="466"/>
      <c r="G3" s="466"/>
      <c r="H3" s="466"/>
      <c r="I3" s="466"/>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466"/>
      <c r="C4" s="466"/>
      <c r="D4" s="466"/>
      <c r="E4" s="466"/>
      <c r="F4" s="466"/>
      <c r="G4" s="466"/>
      <c r="H4" s="466"/>
      <c r="I4" s="466"/>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354" t="s">
        <v>183</v>
      </c>
      <c r="C6" s="354"/>
      <c r="D6" s="355"/>
      <c r="E6" s="449" t="s">
        <v>184</v>
      </c>
      <c r="F6" s="450"/>
      <c r="G6" s="450"/>
      <c r="H6" s="450"/>
      <c r="I6" s="467"/>
      <c r="J6" s="44" t="str">
        <f>IF(AND('Mapa final'!$Y$32="Muy Alta",'Mapa final'!$AA$32="Leve"),CONCATENATE("R1C",'Mapa final'!$O$32),"")</f>
        <v/>
      </c>
      <c r="K6" s="45" t="str">
        <f>IF(AND('Mapa final'!$Y$33="Muy Alta",'Mapa final'!$AA$33="Leve"),CONCATENATE("R1C",'Mapa final'!$O$33),"")</f>
        <v/>
      </c>
      <c r="L6" s="45" t="e">
        <f>IF(AND('Mapa final'!#REF!="Muy Alta",'Mapa final'!#REF!="Leve"),CONCATENATE("R1C",'Mapa final'!#REF!),"")</f>
        <v>#REF!</v>
      </c>
      <c r="M6" s="45" t="e">
        <f>IF(AND('Mapa final'!#REF!="Muy Alta",'Mapa final'!#REF!="Leve"),CONCATENATE("R1C",'Mapa final'!#REF!),"")</f>
        <v>#REF!</v>
      </c>
      <c r="N6" s="45" t="e">
        <f>IF(AND('Mapa final'!#REF!="Muy Alta",'Mapa final'!#REF!="Leve"),CONCATENATE("R1C",'Mapa final'!#REF!),"")</f>
        <v>#REF!</v>
      </c>
      <c r="O6" s="46" t="e">
        <f>IF(AND('Mapa final'!#REF!="Muy Alta",'Mapa final'!#REF!="Leve"),CONCATENATE("R1C",'Mapa final'!#REF!),"")</f>
        <v>#REF!</v>
      </c>
      <c r="P6" s="44" t="str">
        <f>IF(AND('Mapa final'!$Y$32="Muy Alta",'Mapa final'!$AA$32="Menor"),CONCATENATE("R1C",'Mapa final'!$O$32),"")</f>
        <v/>
      </c>
      <c r="Q6" s="45" t="str">
        <f>IF(AND('Mapa final'!$Y$33="Muy Alta",'Mapa final'!$AA$33="Menor"),CONCATENATE("R1C",'Mapa final'!$O$33),"")</f>
        <v/>
      </c>
      <c r="R6" s="45" t="e">
        <f>IF(AND('Mapa final'!#REF!="Muy Alta",'Mapa final'!#REF!="Menor"),CONCATENATE("R1C",'Mapa final'!#REF!),"")</f>
        <v>#REF!</v>
      </c>
      <c r="S6" s="45" t="e">
        <f>IF(AND('Mapa final'!#REF!="Muy Alta",'Mapa final'!#REF!="Menor"),CONCATENATE("R1C",'Mapa final'!#REF!),"")</f>
        <v>#REF!</v>
      </c>
      <c r="T6" s="45" t="e">
        <f>IF(AND('Mapa final'!#REF!="Muy Alta",'Mapa final'!#REF!="Menor"),CONCATENATE("R1C",'Mapa final'!#REF!),"")</f>
        <v>#REF!</v>
      </c>
      <c r="U6" s="46" t="e">
        <f>IF(AND('Mapa final'!#REF!="Muy Alta",'Mapa final'!#REF!="Menor"),CONCATENATE("R1C",'Mapa final'!#REF!),"")</f>
        <v>#REF!</v>
      </c>
      <c r="V6" s="44" t="str">
        <f>IF(AND('Mapa final'!$Y$32="Muy Alta",'Mapa final'!$AA$32="Moderado"),CONCATENATE("R1C",'Mapa final'!$O$32),"")</f>
        <v/>
      </c>
      <c r="W6" s="45" t="str">
        <f>IF(AND('Mapa final'!$Y$33="Muy Alta",'Mapa final'!$AA$33="Moderado"),CONCATENATE("R1C",'Mapa final'!$O$33),"")</f>
        <v/>
      </c>
      <c r="X6" s="45" t="e">
        <f>IF(AND('Mapa final'!#REF!="Muy Alta",'Mapa final'!#REF!="Moderado"),CONCATENATE("R1C",'Mapa final'!#REF!),"")</f>
        <v>#REF!</v>
      </c>
      <c r="Y6" s="45" t="e">
        <f>IF(AND('Mapa final'!#REF!="Muy Alta",'Mapa final'!#REF!="Moderado"),CONCATENATE("R1C",'Mapa final'!#REF!),"")</f>
        <v>#REF!</v>
      </c>
      <c r="Z6" s="45" t="e">
        <f>IF(AND('Mapa final'!#REF!="Muy Alta",'Mapa final'!#REF!="Moderado"),CONCATENATE("R1C",'Mapa final'!#REF!),"")</f>
        <v>#REF!</v>
      </c>
      <c r="AA6" s="46" t="e">
        <f>IF(AND('Mapa final'!#REF!="Muy Alta",'Mapa final'!#REF!="Moderado"),CONCATENATE("R1C",'Mapa final'!#REF!),"")</f>
        <v>#REF!</v>
      </c>
      <c r="AB6" s="44" t="str">
        <f>IF(AND('Mapa final'!$Y$32="Muy Alta",'Mapa final'!$AA$32="Mayor"),CONCATENATE("R1C",'Mapa final'!$O$32),"")</f>
        <v/>
      </c>
      <c r="AC6" s="45" t="str">
        <f>IF(AND('Mapa final'!$Y$33="Muy Alta",'Mapa final'!$AA$33="Mayor"),CONCATENATE("R1C",'Mapa final'!$O$33),"")</f>
        <v/>
      </c>
      <c r="AD6" s="45" t="e">
        <f>IF(AND('Mapa final'!#REF!="Muy Alta",'Mapa final'!#REF!="Mayor"),CONCATENATE("R1C",'Mapa final'!#REF!),"")</f>
        <v>#REF!</v>
      </c>
      <c r="AE6" s="45" t="e">
        <f>IF(AND('Mapa final'!#REF!="Muy Alta",'Mapa final'!#REF!="Mayor"),CONCATENATE("R1C",'Mapa final'!#REF!),"")</f>
        <v>#REF!</v>
      </c>
      <c r="AF6" s="45" t="e">
        <f>IF(AND('Mapa final'!#REF!="Muy Alta",'Mapa final'!#REF!="Mayor"),CONCATENATE("R1C",'Mapa final'!#REF!),"")</f>
        <v>#REF!</v>
      </c>
      <c r="AG6" s="46" t="e">
        <f>IF(AND('Mapa final'!#REF!="Muy Alta",'Mapa final'!#REF!="Mayor"),CONCATENATE("R1C",'Mapa final'!#REF!),"")</f>
        <v>#REF!</v>
      </c>
      <c r="AH6" s="47" t="str">
        <f>IF(AND('Mapa final'!$Y$32="Muy Alta",'Mapa final'!$AA$32="Catastrófico"),CONCATENATE("R1C",'Mapa final'!$O$32),"")</f>
        <v/>
      </c>
      <c r="AI6" s="48" t="str">
        <f>IF(AND('Mapa final'!$Y$33="Muy Alta",'Mapa final'!$AA$33="Catastrófico"),CONCATENATE("R1C",'Mapa final'!$O$33),"")</f>
        <v/>
      </c>
      <c r="AJ6" s="48" t="e">
        <f>IF(AND('Mapa final'!#REF!="Muy Alta",'Mapa final'!#REF!="Catastrófico"),CONCATENATE("R1C",'Mapa final'!#REF!),"")</f>
        <v>#REF!</v>
      </c>
      <c r="AK6" s="48" t="e">
        <f>IF(AND('Mapa final'!#REF!="Muy Alta",'Mapa final'!#REF!="Catastrófico"),CONCATENATE("R1C",'Mapa final'!#REF!),"")</f>
        <v>#REF!</v>
      </c>
      <c r="AL6" s="48" t="e">
        <f>IF(AND('Mapa final'!#REF!="Muy Alta",'Mapa final'!#REF!="Catastrófico"),CONCATENATE("R1C",'Mapa final'!#REF!),"")</f>
        <v>#REF!</v>
      </c>
      <c r="AM6" s="49" t="e">
        <f>IF(AND('Mapa final'!#REF!="Muy Alta",'Mapa final'!#REF!="Catastrófico"),CONCATENATE("R1C",'Mapa final'!#REF!),"")</f>
        <v>#REF!</v>
      </c>
      <c r="AN6" s="81"/>
      <c r="AO6" s="456" t="s">
        <v>185</v>
      </c>
      <c r="AP6" s="457"/>
      <c r="AQ6" s="457"/>
      <c r="AR6" s="457"/>
      <c r="AS6" s="457"/>
      <c r="AT6" s="458"/>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354"/>
      <c r="C7" s="354"/>
      <c r="D7" s="355"/>
      <c r="E7" s="453"/>
      <c r="F7" s="452"/>
      <c r="G7" s="452"/>
      <c r="H7" s="452"/>
      <c r="I7" s="468"/>
      <c r="J7" s="50" t="str">
        <f>IF(AND('Mapa final'!$Y$34="Muy Alta",'Mapa final'!$AA$34="Leve"),CONCATENATE("R2C",'Mapa final'!$O$34),"")</f>
        <v/>
      </c>
      <c r="K7" s="51" t="e">
        <f>IF(AND('Mapa final'!#REF!="Muy Alta",'Mapa final'!#REF!="Leve"),CONCATENATE("R2C",'Mapa final'!#REF!),"")</f>
        <v>#REF!</v>
      </c>
      <c r="L7" s="51" t="e">
        <f>IF(AND('Mapa final'!#REF!="Muy Alta",'Mapa final'!#REF!="Leve"),CONCATENATE("R2C",'Mapa final'!#REF!),"")</f>
        <v>#REF!</v>
      </c>
      <c r="M7" s="51" t="e">
        <f>IF(AND('Mapa final'!#REF!="Muy Alta",'Mapa final'!#REF!="Leve"),CONCATENATE("R2C",'Mapa final'!#REF!),"")</f>
        <v>#REF!</v>
      </c>
      <c r="N7" s="51" t="e">
        <f>IF(AND('Mapa final'!#REF!="Muy Alta",'Mapa final'!#REF!="Leve"),CONCATENATE("R2C",'Mapa final'!#REF!),"")</f>
        <v>#REF!</v>
      </c>
      <c r="O7" s="52" t="e">
        <f>IF(AND('Mapa final'!#REF!="Muy Alta",'Mapa final'!#REF!="Leve"),CONCATENATE("R2C",'Mapa final'!#REF!),"")</f>
        <v>#REF!</v>
      </c>
      <c r="P7" s="50" t="str">
        <f>IF(AND('Mapa final'!$Y$34="Muy Alta",'Mapa final'!$AA$34="Menor"),CONCATENATE("R2C",'Mapa final'!$O$34),"")</f>
        <v/>
      </c>
      <c r="Q7" s="51" t="e">
        <f>IF(AND('Mapa final'!#REF!="Muy Alta",'Mapa final'!#REF!="Menor"),CONCATENATE("R2C",'Mapa final'!#REF!),"")</f>
        <v>#REF!</v>
      </c>
      <c r="R7" s="51" t="e">
        <f>IF(AND('Mapa final'!#REF!="Muy Alta",'Mapa final'!#REF!="Menor"),CONCATENATE("R2C",'Mapa final'!#REF!),"")</f>
        <v>#REF!</v>
      </c>
      <c r="S7" s="51" t="e">
        <f>IF(AND('Mapa final'!#REF!="Muy Alta",'Mapa final'!#REF!="Menor"),CONCATENATE("R2C",'Mapa final'!#REF!),"")</f>
        <v>#REF!</v>
      </c>
      <c r="T7" s="51" t="e">
        <f>IF(AND('Mapa final'!#REF!="Muy Alta",'Mapa final'!#REF!="Menor"),CONCATENATE("R2C",'Mapa final'!#REF!),"")</f>
        <v>#REF!</v>
      </c>
      <c r="U7" s="52" t="e">
        <f>IF(AND('Mapa final'!#REF!="Muy Alta",'Mapa final'!#REF!="Menor"),CONCATENATE("R2C",'Mapa final'!#REF!),"")</f>
        <v>#REF!</v>
      </c>
      <c r="V7" s="50" t="str">
        <f>IF(AND('Mapa final'!$Y$34="Muy Alta",'Mapa final'!$AA$34="Moderado"),CONCATENATE("R2C",'Mapa final'!$O$34),"")</f>
        <v/>
      </c>
      <c r="W7" s="51" t="e">
        <f>IF(AND('Mapa final'!#REF!="Muy Alta",'Mapa final'!#REF!="Moderado"),CONCATENATE("R2C",'Mapa final'!#REF!),"")</f>
        <v>#REF!</v>
      </c>
      <c r="X7" s="51" t="e">
        <f>IF(AND('Mapa final'!#REF!="Muy Alta",'Mapa final'!#REF!="Moderado"),CONCATENATE("R2C",'Mapa final'!#REF!),"")</f>
        <v>#REF!</v>
      </c>
      <c r="Y7" s="51" t="e">
        <f>IF(AND('Mapa final'!#REF!="Muy Alta",'Mapa final'!#REF!="Moderado"),CONCATENATE("R2C",'Mapa final'!#REF!),"")</f>
        <v>#REF!</v>
      </c>
      <c r="Z7" s="51" t="e">
        <f>IF(AND('Mapa final'!#REF!="Muy Alta",'Mapa final'!#REF!="Moderado"),CONCATENATE("R2C",'Mapa final'!#REF!),"")</f>
        <v>#REF!</v>
      </c>
      <c r="AA7" s="52" t="e">
        <f>IF(AND('Mapa final'!#REF!="Muy Alta",'Mapa final'!#REF!="Moderado"),CONCATENATE("R2C",'Mapa final'!#REF!),"")</f>
        <v>#REF!</v>
      </c>
      <c r="AB7" s="50" t="str">
        <f>IF(AND('Mapa final'!$Y$34="Muy Alta",'Mapa final'!$AA$34="Mayor"),CONCATENATE("R2C",'Mapa final'!$O$34),"")</f>
        <v/>
      </c>
      <c r="AC7" s="51" t="e">
        <f>IF(AND('Mapa final'!#REF!="Muy Alta",'Mapa final'!#REF!="Mayor"),CONCATENATE("R2C",'Mapa final'!#REF!),"")</f>
        <v>#REF!</v>
      </c>
      <c r="AD7" s="51" t="e">
        <f>IF(AND('Mapa final'!#REF!="Muy Alta",'Mapa final'!#REF!="Mayor"),CONCATENATE("R2C",'Mapa final'!#REF!),"")</f>
        <v>#REF!</v>
      </c>
      <c r="AE7" s="51" t="e">
        <f>IF(AND('Mapa final'!#REF!="Muy Alta",'Mapa final'!#REF!="Mayor"),CONCATENATE("R2C",'Mapa final'!#REF!),"")</f>
        <v>#REF!</v>
      </c>
      <c r="AF7" s="51" t="e">
        <f>IF(AND('Mapa final'!#REF!="Muy Alta",'Mapa final'!#REF!="Mayor"),CONCATENATE("R2C",'Mapa final'!#REF!),"")</f>
        <v>#REF!</v>
      </c>
      <c r="AG7" s="52" t="e">
        <f>IF(AND('Mapa final'!#REF!="Muy Alta",'Mapa final'!#REF!="Mayor"),CONCATENATE("R2C",'Mapa final'!#REF!),"")</f>
        <v>#REF!</v>
      </c>
      <c r="AH7" s="53" t="str">
        <f>IF(AND('Mapa final'!$Y$34="Muy Alta",'Mapa final'!$AA$34="Catastrófico"),CONCATENATE("R2C",'Mapa final'!$O$34),"")</f>
        <v/>
      </c>
      <c r="AI7" s="54" t="e">
        <f>IF(AND('Mapa final'!#REF!="Muy Alta",'Mapa final'!#REF!="Catastrófico"),CONCATENATE("R2C",'Mapa final'!#REF!),"")</f>
        <v>#REF!</v>
      </c>
      <c r="AJ7" s="54" t="e">
        <f>IF(AND('Mapa final'!#REF!="Muy Alta",'Mapa final'!#REF!="Catastrófico"),CONCATENATE("R2C",'Mapa final'!#REF!),"")</f>
        <v>#REF!</v>
      </c>
      <c r="AK7" s="54" t="e">
        <f>IF(AND('Mapa final'!#REF!="Muy Alta",'Mapa final'!#REF!="Catastrófico"),CONCATENATE("R2C",'Mapa final'!#REF!),"")</f>
        <v>#REF!</v>
      </c>
      <c r="AL7" s="54" t="e">
        <f>IF(AND('Mapa final'!#REF!="Muy Alta",'Mapa final'!#REF!="Catastrófico"),CONCATENATE("R2C",'Mapa final'!#REF!),"")</f>
        <v>#REF!</v>
      </c>
      <c r="AM7" s="55" t="e">
        <f>IF(AND('Mapa final'!#REF!="Muy Alta",'Mapa final'!#REF!="Catastrófico"),CONCATENATE("R2C",'Mapa final'!#REF!),"")</f>
        <v>#REF!</v>
      </c>
      <c r="AN7" s="81"/>
      <c r="AO7" s="459"/>
      <c r="AP7" s="460"/>
      <c r="AQ7" s="460"/>
      <c r="AR7" s="460"/>
      <c r="AS7" s="460"/>
      <c r="AT7" s="46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354"/>
      <c r="C8" s="354"/>
      <c r="D8" s="355"/>
      <c r="E8" s="453"/>
      <c r="F8" s="452"/>
      <c r="G8" s="452"/>
      <c r="H8" s="452"/>
      <c r="I8" s="468"/>
      <c r="J8" s="50" t="str">
        <f>IF(AND('Mapa final'!$Y$35="Muy Alta",'Mapa final'!$AA$35="Leve"),CONCATENATE("R3C",'Mapa final'!$O$35),"")</f>
        <v/>
      </c>
      <c r="K8" s="51" t="e">
        <f>IF(AND('Mapa final'!#REF!="Muy Alta",'Mapa final'!#REF!="Leve"),CONCATENATE("R3C",'Mapa final'!#REF!),"")</f>
        <v>#REF!</v>
      </c>
      <c r="L8" s="51" t="e">
        <f>IF(AND('Mapa final'!#REF!="Muy Alta",'Mapa final'!#REF!="Leve"),CONCATENATE("R3C",'Mapa final'!#REF!),"")</f>
        <v>#REF!</v>
      </c>
      <c r="M8" s="51" t="e">
        <f>IF(AND('Mapa final'!#REF!="Muy Alta",'Mapa final'!#REF!="Leve"),CONCATENATE("R3C",'Mapa final'!#REF!),"")</f>
        <v>#REF!</v>
      </c>
      <c r="N8" s="51" t="e">
        <f>IF(AND('Mapa final'!#REF!="Muy Alta",'Mapa final'!#REF!="Leve"),CONCATENATE("R3C",'Mapa final'!#REF!),"")</f>
        <v>#REF!</v>
      </c>
      <c r="O8" s="52" t="e">
        <f>IF(AND('Mapa final'!#REF!="Muy Alta",'Mapa final'!#REF!="Leve"),CONCATENATE("R3C",'Mapa final'!#REF!),"")</f>
        <v>#REF!</v>
      </c>
      <c r="P8" s="50" t="str">
        <f>IF(AND('Mapa final'!$Y$35="Muy Alta",'Mapa final'!$AA$35="Menor"),CONCATENATE("R3C",'Mapa final'!$O$35),"")</f>
        <v/>
      </c>
      <c r="Q8" s="51" t="e">
        <f>IF(AND('Mapa final'!#REF!="Muy Alta",'Mapa final'!#REF!="Menor"),CONCATENATE("R3C",'Mapa final'!#REF!),"")</f>
        <v>#REF!</v>
      </c>
      <c r="R8" s="51" t="e">
        <f>IF(AND('Mapa final'!#REF!="Muy Alta",'Mapa final'!#REF!="Menor"),CONCATENATE("R3C",'Mapa final'!#REF!),"")</f>
        <v>#REF!</v>
      </c>
      <c r="S8" s="51" t="e">
        <f>IF(AND('Mapa final'!#REF!="Muy Alta",'Mapa final'!#REF!="Menor"),CONCATENATE("R3C",'Mapa final'!#REF!),"")</f>
        <v>#REF!</v>
      </c>
      <c r="T8" s="51" t="e">
        <f>IF(AND('Mapa final'!#REF!="Muy Alta",'Mapa final'!#REF!="Menor"),CONCATENATE("R3C",'Mapa final'!#REF!),"")</f>
        <v>#REF!</v>
      </c>
      <c r="U8" s="52" t="e">
        <f>IF(AND('Mapa final'!#REF!="Muy Alta",'Mapa final'!#REF!="Menor"),CONCATENATE("R3C",'Mapa final'!#REF!),"")</f>
        <v>#REF!</v>
      </c>
      <c r="V8" s="50" t="str">
        <f>IF(AND('Mapa final'!$Y$35="Muy Alta",'Mapa final'!$AA$35="Moderado"),CONCATENATE("R3C",'Mapa final'!$O$35),"")</f>
        <v/>
      </c>
      <c r="W8" s="51" t="e">
        <f>IF(AND('Mapa final'!#REF!="Muy Alta",'Mapa final'!#REF!="Moderado"),CONCATENATE("R3C",'Mapa final'!#REF!),"")</f>
        <v>#REF!</v>
      </c>
      <c r="X8" s="51" t="e">
        <f>IF(AND('Mapa final'!#REF!="Muy Alta",'Mapa final'!#REF!="Moderado"),CONCATENATE("R3C",'Mapa final'!#REF!),"")</f>
        <v>#REF!</v>
      </c>
      <c r="Y8" s="51" t="e">
        <f>IF(AND('Mapa final'!#REF!="Muy Alta",'Mapa final'!#REF!="Moderado"),CONCATENATE("R3C",'Mapa final'!#REF!),"")</f>
        <v>#REF!</v>
      </c>
      <c r="Z8" s="51" t="e">
        <f>IF(AND('Mapa final'!#REF!="Muy Alta",'Mapa final'!#REF!="Moderado"),CONCATENATE("R3C",'Mapa final'!#REF!),"")</f>
        <v>#REF!</v>
      </c>
      <c r="AA8" s="52" t="e">
        <f>IF(AND('Mapa final'!#REF!="Muy Alta",'Mapa final'!#REF!="Moderado"),CONCATENATE("R3C",'Mapa final'!#REF!),"")</f>
        <v>#REF!</v>
      </c>
      <c r="AB8" s="50" t="str">
        <f>IF(AND('Mapa final'!$Y$35="Muy Alta",'Mapa final'!$AA$35="Mayor"),CONCATENATE("R3C",'Mapa final'!$O$35),"")</f>
        <v/>
      </c>
      <c r="AC8" s="51" t="e">
        <f>IF(AND('Mapa final'!#REF!="Muy Alta",'Mapa final'!#REF!="Mayor"),CONCATENATE("R3C",'Mapa final'!#REF!),"")</f>
        <v>#REF!</v>
      </c>
      <c r="AD8" s="51" t="e">
        <f>IF(AND('Mapa final'!#REF!="Muy Alta",'Mapa final'!#REF!="Mayor"),CONCATENATE("R3C",'Mapa final'!#REF!),"")</f>
        <v>#REF!</v>
      </c>
      <c r="AE8" s="51" t="e">
        <f>IF(AND('Mapa final'!#REF!="Muy Alta",'Mapa final'!#REF!="Mayor"),CONCATENATE("R3C",'Mapa final'!#REF!),"")</f>
        <v>#REF!</v>
      </c>
      <c r="AF8" s="51" t="e">
        <f>IF(AND('Mapa final'!#REF!="Muy Alta",'Mapa final'!#REF!="Mayor"),CONCATENATE("R3C",'Mapa final'!#REF!),"")</f>
        <v>#REF!</v>
      </c>
      <c r="AG8" s="52" t="e">
        <f>IF(AND('Mapa final'!#REF!="Muy Alta",'Mapa final'!#REF!="Mayor"),CONCATENATE("R3C",'Mapa final'!#REF!),"")</f>
        <v>#REF!</v>
      </c>
      <c r="AH8" s="53" t="str">
        <f>IF(AND('Mapa final'!$Y$35="Muy Alta",'Mapa final'!$AA$35="Catastrófico"),CONCATENATE("R3C",'Mapa final'!$O$35),"")</f>
        <v/>
      </c>
      <c r="AI8" s="54" t="e">
        <f>IF(AND('Mapa final'!#REF!="Muy Alta",'Mapa final'!#REF!="Catastrófico"),CONCATENATE("R3C",'Mapa final'!#REF!),"")</f>
        <v>#REF!</v>
      </c>
      <c r="AJ8" s="54" t="e">
        <f>IF(AND('Mapa final'!#REF!="Muy Alta",'Mapa final'!#REF!="Catastrófico"),CONCATENATE("R3C",'Mapa final'!#REF!),"")</f>
        <v>#REF!</v>
      </c>
      <c r="AK8" s="54" t="e">
        <f>IF(AND('Mapa final'!#REF!="Muy Alta",'Mapa final'!#REF!="Catastrófico"),CONCATENATE("R3C",'Mapa final'!#REF!),"")</f>
        <v>#REF!</v>
      </c>
      <c r="AL8" s="54" t="e">
        <f>IF(AND('Mapa final'!#REF!="Muy Alta",'Mapa final'!#REF!="Catastrófico"),CONCATENATE("R3C",'Mapa final'!#REF!),"")</f>
        <v>#REF!</v>
      </c>
      <c r="AM8" s="55" t="e">
        <f>IF(AND('Mapa final'!#REF!="Muy Alta",'Mapa final'!#REF!="Catastrófico"),CONCATENATE("R3C",'Mapa final'!#REF!),"")</f>
        <v>#REF!</v>
      </c>
      <c r="AN8" s="81"/>
      <c r="AO8" s="459"/>
      <c r="AP8" s="460"/>
      <c r="AQ8" s="460"/>
      <c r="AR8" s="460"/>
      <c r="AS8" s="460"/>
      <c r="AT8" s="46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354"/>
      <c r="C9" s="354"/>
      <c r="D9" s="355"/>
      <c r="E9" s="453"/>
      <c r="F9" s="452"/>
      <c r="G9" s="452"/>
      <c r="H9" s="452"/>
      <c r="I9" s="468"/>
      <c r="J9" s="50" t="str">
        <f>IF(AND('Mapa final'!$Y$36="Muy Alta",'Mapa final'!$AA$36="Leve"),CONCATENATE("R4C",'Mapa final'!$O$36),"")</f>
        <v/>
      </c>
      <c r="K9" s="51" t="e">
        <f>IF(AND('Mapa final'!#REF!="Muy Alta",'Mapa final'!#REF!="Leve"),CONCATENATE("R4C",'Mapa final'!#REF!),"")</f>
        <v>#REF!</v>
      </c>
      <c r="L9" s="51" t="e">
        <f>IF(AND('Mapa final'!#REF!="Muy Alta",'Mapa final'!#REF!="Leve"),CONCATENATE("R4C",'Mapa final'!#REF!),"")</f>
        <v>#REF!</v>
      </c>
      <c r="M9" s="51" t="e">
        <f>IF(AND('Mapa final'!#REF!="Muy Alta",'Mapa final'!#REF!="Leve"),CONCATENATE("R4C",'Mapa final'!#REF!),"")</f>
        <v>#REF!</v>
      </c>
      <c r="N9" s="51" t="e">
        <f>IF(AND('Mapa final'!#REF!="Muy Alta",'Mapa final'!#REF!="Leve"),CONCATENATE("R4C",'Mapa final'!#REF!),"")</f>
        <v>#REF!</v>
      </c>
      <c r="O9" s="52" t="e">
        <f>IF(AND('Mapa final'!#REF!="Muy Alta",'Mapa final'!#REF!="Leve"),CONCATENATE("R4C",'Mapa final'!#REF!),"")</f>
        <v>#REF!</v>
      </c>
      <c r="P9" s="50" t="str">
        <f>IF(AND('Mapa final'!$Y$36="Muy Alta",'Mapa final'!$AA$36="Menor"),CONCATENATE("R4C",'Mapa final'!$O$36),"")</f>
        <v/>
      </c>
      <c r="Q9" s="51" t="e">
        <f>IF(AND('Mapa final'!#REF!="Muy Alta",'Mapa final'!#REF!="Menor"),CONCATENATE("R4C",'Mapa final'!#REF!),"")</f>
        <v>#REF!</v>
      </c>
      <c r="R9" s="51" t="e">
        <f>IF(AND('Mapa final'!#REF!="Muy Alta",'Mapa final'!#REF!="Menor"),CONCATENATE("R4C",'Mapa final'!#REF!),"")</f>
        <v>#REF!</v>
      </c>
      <c r="S9" s="51" t="e">
        <f>IF(AND('Mapa final'!#REF!="Muy Alta",'Mapa final'!#REF!="Menor"),CONCATENATE("R4C",'Mapa final'!#REF!),"")</f>
        <v>#REF!</v>
      </c>
      <c r="T9" s="51" t="e">
        <f>IF(AND('Mapa final'!#REF!="Muy Alta",'Mapa final'!#REF!="Menor"),CONCATENATE("R4C",'Mapa final'!#REF!),"")</f>
        <v>#REF!</v>
      </c>
      <c r="U9" s="52" t="e">
        <f>IF(AND('Mapa final'!#REF!="Muy Alta",'Mapa final'!#REF!="Menor"),CONCATENATE("R4C",'Mapa final'!#REF!),"")</f>
        <v>#REF!</v>
      </c>
      <c r="V9" s="50" t="str">
        <f>IF(AND('Mapa final'!$Y$36="Muy Alta",'Mapa final'!$AA$36="Moderado"),CONCATENATE("R4C",'Mapa final'!$O$36),"")</f>
        <v/>
      </c>
      <c r="W9" s="51" t="e">
        <f>IF(AND('Mapa final'!#REF!="Muy Alta",'Mapa final'!#REF!="Moderado"),CONCATENATE("R4C",'Mapa final'!#REF!),"")</f>
        <v>#REF!</v>
      </c>
      <c r="X9" s="51" t="e">
        <f>IF(AND('Mapa final'!#REF!="Muy Alta",'Mapa final'!#REF!="Moderado"),CONCATENATE("R4C",'Mapa final'!#REF!),"")</f>
        <v>#REF!</v>
      </c>
      <c r="Y9" s="51" t="e">
        <f>IF(AND('Mapa final'!#REF!="Muy Alta",'Mapa final'!#REF!="Moderado"),CONCATENATE("R4C",'Mapa final'!#REF!),"")</f>
        <v>#REF!</v>
      </c>
      <c r="Z9" s="51" t="e">
        <f>IF(AND('Mapa final'!#REF!="Muy Alta",'Mapa final'!#REF!="Moderado"),CONCATENATE("R4C",'Mapa final'!#REF!),"")</f>
        <v>#REF!</v>
      </c>
      <c r="AA9" s="52" t="e">
        <f>IF(AND('Mapa final'!#REF!="Muy Alta",'Mapa final'!#REF!="Moderado"),CONCATENATE("R4C",'Mapa final'!#REF!),"")</f>
        <v>#REF!</v>
      </c>
      <c r="AB9" s="50" t="str">
        <f>IF(AND('Mapa final'!$Y$36="Muy Alta",'Mapa final'!$AA$36="Mayor"),CONCATENATE("R4C",'Mapa final'!$O$36),"")</f>
        <v/>
      </c>
      <c r="AC9" s="51" t="e">
        <f>IF(AND('Mapa final'!#REF!="Muy Alta",'Mapa final'!#REF!="Mayor"),CONCATENATE("R4C",'Mapa final'!#REF!),"")</f>
        <v>#REF!</v>
      </c>
      <c r="AD9" s="51" t="e">
        <f>IF(AND('Mapa final'!#REF!="Muy Alta",'Mapa final'!#REF!="Mayor"),CONCATENATE("R4C",'Mapa final'!#REF!),"")</f>
        <v>#REF!</v>
      </c>
      <c r="AE9" s="51" t="e">
        <f>IF(AND('Mapa final'!#REF!="Muy Alta",'Mapa final'!#REF!="Mayor"),CONCATENATE("R4C",'Mapa final'!#REF!),"")</f>
        <v>#REF!</v>
      </c>
      <c r="AF9" s="51" t="e">
        <f>IF(AND('Mapa final'!#REF!="Muy Alta",'Mapa final'!#REF!="Mayor"),CONCATENATE("R4C",'Mapa final'!#REF!),"")</f>
        <v>#REF!</v>
      </c>
      <c r="AG9" s="52" t="e">
        <f>IF(AND('Mapa final'!#REF!="Muy Alta",'Mapa final'!#REF!="Mayor"),CONCATENATE("R4C",'Mapa final'!#REF!),"")</f>
        <v>#REF!</v>
      </c>
      <c r="AH9" s="53" t="str">
        <f>IF(AND('Mapa final'!$Y$36="Muy Alta",'Mapa final'!$AA$36="Catastrófico"),CONCATENATE("R4C",'Mapa final'!$O$36),"")</f>
        <v/>
      </c>
      <c r="AI9" s="54" t="e">
        <f>IF(AND('Mapa final'!#REF!="Muy Alta",'Mapa final'!#REF!="Catastrófico"),CONCATENATE("R4C",'Mapa final'!#REF!),"")</f>
        <v>#REF!</v>
      </c>
      <c r="AJ9" s="54" t="e">
        <f>IF(AND('Mapa final'!#REF!="Muy Alta",'Mapa final'!#REF!="Catastrófico"),CONCATENATE("R4C",'Mapa final'!#REF!),"")</f>
        <v>#REF!</v>
      </c>
      <c r="AK9" s="54" t="e">
        <f>IF(AND('Mapa final'!#REF!="Muy Alta",'Mapa final'!#REF!="Catastrófico"),CONCATENATE("R4C",'Mapa final'!#REF!),"")</f>
        <v>#REF!</v>
      </c>
      <c r="AL9" s="54" t="e">
        <f>IF(AND('Mapa final'!#REF!="Muy Alta",'Mapa final'!#REF!="Catastrófico"),CONCATENATE("R4C",'Mapa final'!#REF!),"")</f>
        <v>#REF!</v>
      </c>
      <c r="AM9" s="55" t="e">
        <f>IF(AND('Mapa final'!#REF!="Muy Alta",'Mapa final'!#REF!="Catastrófico"),CONCATENATE("R4C",'Mapa final'!#REF!),"")</f>
        <v>#REF!</v>
      </c>
      <c r="AN9" s="81"/>
      <c r="AO9" s="459"/>
      <c r="AP9" s="460"/>
      <c r="AQ9" s="460"/>
      <c r="AR9" s="460"/>
      <c r="AS9" s="460"/>
      <c r="AT9" s="46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354"/>
      <c r="C10" s="354"/>
      <c r="D10" s="355"/>
      <c r="E10" s="453"/>
      <c r="F10" s="452"/>
      <c r="G10" s="452"/>
      <c r="H10" s="452"/>
      <c r="I10" s="468"/>
      <c r="J10" s="50" t="str">
        <f>IF(AND('Mapa final'!$Y$37="Muy Alta",'Mapa final'!$AA$37="Leve"),CONCATENATE("R5C",'Mapa final'!$O$37),"")</f>
        <v/>
      </c>
      <c r="K10" s="51" t="e">
        <f>IF(AND('Mapa final'!#REF!="Muy Alta",'Mapa final'!#REF!="Leve"),CONCATENATE("R5C",'Mapa final'!#REF!),"")</f>
        <v>#REF!</v>
      </c>
      <c r="L10" s="51" t="e">
        <f>IF(AND('Mapa final'!#REF!="Muy Alta",'Mapa final'!#REF!="Leve"),CONCATENATE("R5C",'Mapa final'!#REF!),"")</f>
        <v>#REF!</v>
      </c>
      <c r="M10" s="51" t="e">
        <f>IF(AND('Mapa final'!#REF!="Muy Alta",'Mapa final'!#REF!="Leve"),CONCATENATE("R5C",'Mapa final'!#REF!),"")</f>
        <v>#REF!</v>
      </c>
      <c r="N10" s="51" t="e">
        <f>IF(AND('Mapa final'!#REF!="Muy Alta",'Mapa final'!#REF!="Leve"),CONCATENATE("R5C",'Mapa final'!#REF!),"")</f>
        <v>#REF!</v>
      </c>
      <c r="O10" s="52" t="e">
        <f>IF(AND('Mapa final'!#REF!="Muy Alta",'Mapa final'!#REF!="Leve"),CONCATENATE("R5C",'Mapa final'!#REF!),"")</f>
        <v>#REF!</v>
      </c>
      <c r="P10" s="50" t="str">
        <f>IF(AND('Mapa final'!$Y$37="Muy Alta",'Mapa final'!$AA$37="Menor"),CONCATENATE("R5C",'Mapa final'!$O$37),"")</f>
        <v/>
      </c>
      <c r="Q10" s="51" t="e">
        <f>IF(AND('Mapa final'!#REF!="Muy Alta",'Mapa final'!#REF!="Menor"),CONCATENATE("R5C",'Mapa final'!#REF!),"")</f>
        <v>#REF!</v>
      </c>
      <c r="R10" s="51" t="e">
        <f>IF(AND('Mapa final'!#REF!="Muy Alta",'Mapa final'!#REF!="Menor"),CONCATENATE("R5C",'Mapa final'!#REF!),"")</f>
        <v>#REF!</v>
      </c>
      <c r="S10" s="51" t="e">
        <f>IF(AND('Mapa final'!#REF!="Muy Alta",'Mapa final'!#REF!="Menor"),CONCATENATE("R5C",'Mapa final'!#REF!),"")</f>
        <v>#REF!</v>
      </c>
      <c r="T10" s="51" t="e">
        <f>IF(AND('Mapa final'!#REF!="Muy Alta",'Mapa final'!#REF!="Menor"),CONCATENATE("R5C",'Mapa final'!#REF!),"")</f>
        <v>#REF!</v>
      </c>
      <c r="U10" s="52" t="e">
        <f>IF(AND('Mapa final'!#REF!="Muy Alta",'Mapa final'!#REF!="Menor"),CONCATENATE("R5C",'Mapa final'!#REF!),"")</f>
        <v>#REF!</v>
      </c>
      <c r="V10" s="50" t="str">
        <f>IF(AND('Mapa final'!$Y$37="Muy Alta",'Mapa final'!$AA$37="Moderado"),CONCATENATE("R5C",'Mapa final'!$O$37),"")</f>
        <v/>
      </c>
      <c r="W10" s="51" t="e">
        <f>IF(AND('Mapa final'!#REF!="Muy Alta",'Mapa final'!#REF!="Moderado"),CONCATENATE("R5C",'Mapa final'!#REF!),"")</f>
        <v>#REF!</v>
      </c>
      <c r="X10" s="51" t="e">
        <f>IF(AND('Mapa final'!#REF!="Muy Alta",'Mapa final'!#REF!="Moderado"),CONCATENATE("R5C",'Mapa final'!#REF!),"")</f>
        <v>#REF!</v>
      </c>
      <c r="Y10" s="51" t="e">
        <f>IF(AND('Mapa final'!#REF!="Muy Alta",'Mapa final'!#REF!="Moderado"),CONCATENATE("R5C",'Mapa final'!#REF!),"")</f>
        <v>#REF!</v>
      </c>
      <c r="Z10" s="51" t="e">
        <f>IF(AND('Mapa final'!#REF!="Muy Alta",'Mapa final'!#REF!="Moderado"),CONCATENATE("R5C",'Mapa final'!#REF!),"")</f>
        <v>#REF!</v>
      </c>
      <c r="AA10" s="52" t="e">
        <f>IF(AND('Mapa final'!#REF!="Muy Alta",'Mapa final'!#REF!="Moderado"),CONCATENATE("R5C",'Mapa final'!#REF!),"")</f>
        <v>#REF!</v>
      </c>
      <c r="AB10" s="50" t="str">
        <f>IF(AND('Mapa final'!$Y$37="Muy Alta",'Mapa final'!$AA$37="Mayor"),CONCATENATE("R5C",'Mapa final'!$O$37),"")</f>
        <v/>
      </c>
      <c r="AC10" s="51" t="e">
        <f>IF(AND('Mapa final'!#REF!="Muy Alta",'Mapa final'!#REF!="Mayor"),CONCATENATE("R5C",'Mapa final'!#REF!),"")</f>
        <v>#REF!</v>
      </c>
      <c r="AD10" s="51" t="e">
        <f>IF(AND('Mapa final'!#REF!="Muy Alta",'Mapa final'!#REF!="Mayor"),CONCATENATE("R5C",'Mapa final'!#REF!),"")</f>
        <v>#REF!</v>
      </c>
      <c r="AE10" s="51" t="e">
        <f>IF(AND('Mapa final'!#REF!="Muy Alta",'Mapa final'!#REF!="Mayor"),CONCATENATE("R5C",'Mapa final'!#REF!),"")</f>
        <v>#REF!</v>
      </c>
      <c r="AF10" s="51" t="e">
        <f>IF(AND('Mapa final'!#REF!="Muy Alta",'Mapa final'!#REF!="Mayor"),CONCATENATE("R5C",'Mapa final'!#REF!),"")</f>
        <v>#REF!</v>
      </c>
      <c r="AG10" s="52" t="e">
        <f>IF(AND('Mapa final'!#REF!="Muy Alta",'Mapa final'!#REF!="Mayor"),CONCATENATE("R5C",'Mapa final'!#REF!),"")</f>
        <v>#REF!</v>
      </c>
      <c r="AH10" s="53" t="str">
        <f>IF(AND('Mapa final'!$Y$37="Muy Alta",'Mapa final'!$AA$37="Catastrófico"),CONCATENATE("R5C",'Mapa final'!$O$37),"")</f>
        <v/>
      </c>
      <c r="AI10" s="54" t="e">
        <f>IF(AND('Mapa final'!#REF!="Muy Alta",'Mapa final'!#REF!="Catastrófico"),CONCATENATE("R5C",'Mapa final'!#REF!),"")</f>
        <v>#REF!</v>
      </c>
      <c r="AJ10" s="54" t="e">
        <f>IF(AND('Mapa final'!#REF!="Muy Alta",'Mapa final'!#REF!="Catastrófico"),CONCATENATE("R5C",'Mapa final'!#REF!),"")</f>
        <v>#REF!</v>
      </c>
      <c r="AK10" s="54" t="e">
        <f>IF(AND('Mapa final'!#REF!="Muy Alta",'Mapa final'!#REF!="Catastrófico"),CONCATENATE("R5C",'Mapa final'!#REF!),"")</f>
        <v>#REF!</v>
      </c>
      <c r="AL10" s="54" t="e">
        <f>IF(AND('Mapa final'!#REF!="Muy Alta",'Mapa final'!#REF!="Catastrófico"),CONCATENATE("R5C",'Mapa final'!#REF!),"")</f>
        <v>#REF!</v>
      </c>
      <c r="AM10" s="55" t="e">
        <f>IF(AND('Mapa final'!#REF!="Muy Alta",'Mapa final'!#REF!="Catastrófico"),CONCATENATE("R5C",'Mapa final'!#REF!),"")</f>
        <v>#REF!</v>
      </c>
      <c r="AN10" s="81"/>
      <c r="AO10" s="459"/>
      <c r="AP10" s="460"/>
      <c r="AQ10" s="460"/>
      <c r="AR10" s="460"/>
      <c r="AS10" s="460"/>
      <c r="AT10" s="46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354"/>
      <c r="C11" s="354"/>
      <c r="D11" s="355"/>
      <c r="E11" s="453"/>
      <c r="F11" s="452"/>
      <c r="G11" s="452"/>
      <c r="H11" s="452"/>
      <c r="I11" s="468"/>
      <c r="J11" s="50" t="e">
        <f>IF(AND('Mapa final'!#REF!="Muy Alta",'Mapa final'!#REF!="Leve"),CONCATENATE("R6C",'Mapa final'!#REF!),"")</f>
        <v>#REF!</v>
      </c>
      <c r="K11" s="51" t="e">
        <f>IF(AND('Mapa final'!#REF!="Muy Alta",'Mapa final'!#REF!="Leve"),CONCATENATE("R6C",'Mapa final'!#REF!),"")</f>
        <v>#REF!</v>
      </c>
      <c r="L11" s="51" t="e">
        <f>IF(AND('Mapa final'!#REF!="Muy Alta",'Mapa final'!#REF!="Leve"),CONCATENATE("R6C",'Mapa final'!#REF!),"")</f>
        <v>#REF!</v>
      </c>
      <c r="M11" s="51" t="e">
        <f>IF(AND('Mapa final'!#REF!="Muy Alta",'Mapa final'!#REF!="Leve"),CONCATENATE("R6C",'Mapa final'!#REF!),"")</f>
        <v>#REF!</v>
      </c>
      <c r="N11" s="51" t="e">
        <f>IF(AND('Mapa final'!#REF!="Muy Alta",'Mapa final'!#REF!="Leve"),CONCATENATE("R6C",'Mapa final'!#REF!),"")</f>
        <v>#REF!</v>
      </c>
      <c r="O11" s="52" t="e">
        <f>IF(AND('Mapa final'!#REF!="Muy Alta",'Mapa final'!#REF!="Leve"),CONCATENATE("R6C",'Mapa final'!#REF!),"")</f>
        <v>#REF!</v>
      </c>
      <c r="P11" s="50" t="e">
        <f>IF(AND('Mapa final'!#REF!="Muy Alta",'Mapa final'!#REF!="Menor"),CONCATENATE("R6C",'Mapa final'!#REF!),"")</f>
        <v>#REF!</v>
      </c>
      <c r="Q11" s="51" t="e">
        <f>IF(AND('Mapa final'!#REF!="Muy Alta",'Mapa final'!#REF!="Menor"),CONCATENATE("R6C",'Mapa final'!#REF!),"")</f>
        <v>#REF!</v>
      </c>
      <c r="R11" s="51" t="e">
        <f>IF(AND('Mapa final'!#REF!="Muy Alta",'Mapa final'!#REF!="Menor"),CONCATENATE("R6C",'Mapa final'!#REF!),"")</f>
        <v>#REF!</v>
      </c>
      <c r="S11" s="51" t="e">
        <f>IF(AND('Mapa final'!#REF!="Muy Alta",'Mapa final'!#REF!="Menor"),CONCATENATE("R6C",'Mapa final'!#REF!),"")</f>
        <v>#REF!</v>
      </c>
      <c r="T11" s="51" t="e">
        <f>IF(AND('Mapa final'!#REF!="Muy Alta",'Mapa final'!#REF!="Menor"),CONCATENATE("R6C",'Mapa final'!#REF!),"")</f>
        <v>#REF!</v>
      </c>
      <c r="U11" s="52" t="e">
        <f>IF(AND('Mapa final'!#REF!="Muy Alta",'Mapa final'!#REF!="Menor"),CONCATENATE("R6C",'Mapa final'!#REF!),"")</f>
        <v>#REF!</v>
      </c>
      <c r="V11" s="50" t="e">
        <f>IF(AND('Mapa final'!#REF!="Muy Alta",'Mapa final'!#REF!="Moderado"),CONCATENATE("R6C",'Mapa final'!#REF!),"")</f>
        <v>#REF!</v>
      </c>
      <c r="W11" s="51" t="e">
        <f>IF(AND('Mapa final'!#REF!="Muy Alta",'Mapa final'!#REF!="Moderado"),CONCATENATE("R6C",'Mapa final'!#REF!),"")</f>
        <v>#REF!</v>
      </c>
      <c r="X11" s="51" t="e">
        <f>IF(AND('Mapa final'!#REF!="Muy Alta",'Mapa final'!#REF!="Moderado"),CONCATENATE("R6C",'Mapa final'!#REF!),"")</f>
        <v>#REF!</v>
      </c>
      <c r="Y11" s="51" t="e">
        <f>IF(AND('Mapa final'!#REF!="Muy Alta",'Mapa final'!#REF!="Moderado"),CONCATENATE("R6C",'Mapa final'!#REF!),"")</f>
        <v>#REF!</v>
      </c>
      <c r="Z11" s="51" t="e">
        <f>IF(AND('Mapa final'!#REF!="Muy Alta",'Mapa final'!#REF!="Moderado"),CONCATENATE("R6C",'Mapa final'!#REF!),"")</f>
        <v>#REF!</v>
      </c>
      <c r="AA11" s="52" t="e">
        <f>IF(AND('Mapa final'!#REF!="Muy Alta",'Mapa final'!#REF!="Moderado"),CONCATENATE("R6C",'Mapa final'!#REF!),"")</f>
        <v>#REF!</v>
      </c>
      <c r="AB11" s="50" t="e">
        <f>IF(AND('Mapa final'!#REF!="Muy Alta",'Mapa final'!#REF!="Mayor"),CONCATENATE("R6C",'Mapa final'!#REF!),"")</f>
        <v>#REF!</v>
      </c>
      <c r="AC11" s="51" t="e">
        <f>IF(AND('Mapa final'!#REF!="Muy Alta",'Mapa final'!#REF!="Mayor"),CONCATENATE("R6C",'Mapa final'!#REF!),"")</f>
        <v>#REF!</v>
      </c>
      <c r="AD11" s="51" t="e">
        <f>IF(AND('Mapa final'!#REF!="Muy Alta",'Mapa final'!#REF!="Mayor"),CONCATENATE("R6C",'Mapa final'!#REF!),"")</f>
        <v>#REF!</v>
      </c>
      <c r="AE11" s="51" t="e">
        <f>IF(AND('Mapa final'!#REF!="Muy Alta",'Mapa final'!#REF!="Mayor"),CONCATENATE("R6C",'Mapa final'!#REF!),"")</f>
        <v>#REF!</v>
      </c>
      <c r="AF11" s="51" t="e">
        <f>IF(AND('Mapa final'!#REF!="Muy Alta",'Mapa final'!#REF!="Mayor"),CONCATENATE("R6C",'Mapa final'!#REF!),"")</f>
        <v>#REF!</v>
      </c>
      <c r="AG11" s="52" t="e">
        <f>IF(AND('Mapa final'!#REF!="Muy Alta",'Mapa final'!#REF!="Mayor"),CONCATENATE("R6C",'Mapa final'!#REF!),"")</f>
        <v>#REF!</v>
      </c>
      <c r="AH11" s="53" t="e">
        <f>IF(AND('Mapa final'!#REF!="Muy Alta",'Mapa final'!#REF!="Catastrófico"),CONCATENATE("R6C",'Mapa final'!#REF!),"")</f>
        <v>#REF!</v>
      </c>
      <c r="AI11" s="54" t="e">
        <f>IF(AND('Mapa final'!#REF!="Muy Alta",'Mapa final'!#REF!="Catastrófico"),CONCATENATE("R6C",'Mapa final'!#REF!),"")</f>
        <v>#REF!</v>
      </c>
      <c r="AJ11" s="54" t="e">
        <f>IF(AND('Mapa final'!#REF!="Muy Alta",'Mapa final'!#REF!="Catastrófico"),CONCATENATE("R6C",'Mapa final'!#REF!),"")</f>
        <v>#REF!</v>
      </c>
      <c r="AK11" s="54" t="e">
        <f>IF(AND('Mapa final'!#REF!="Muy Alta",'Mapa final'!#REF!="Catastrófico"),CONCATENATE("R6C",'Mapa final'!#REF!),"")</f>
        <v>#REF!</v>
      </c>
      <c r="AL11" s="54" t="e">
        <f>IF(AND('Mapa final'!#REF!="Muy Alta",'Mapa final'!#REF!="Catastrófico"),CONCATENATE("R6C",'Mapa final'!#REF!),"")</f>
        <v>#REF!</v>
      </c>
      <c r="AM11" s="55" t="e">
        <f>IF(AND('Mapa final'!#REF!="Muy Alta",'Mapa final'!#REF!="Catastrófico"),CONCATENATE("R6C",'Mapa final'!#REF!),"")</f>
        <v>#REF!</v>
      </c>
      <c r="AN11" s="81"/>
      <c r="AO11" s="459"/>
      <c r="AP11" s="460"/>
      <c r="AQ11" s="460"/>
      <c r="AR11" s="460"/>
      <c r="AS11" s="460"/>
      <c r="AT11" s="46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354"/>
      <c r="C12" s="354"/>
      <c r="D12" s="355"/>
      <c r="E12" s="453"/>
      <c r="F12" s="452"/>
      <c r="G12" s="452"/>
      <c r="H12" s="452"/>
      <c r="I12" s="468"/>
      <c r="J12" s="50" t="e">
        <f>IF(AND('Mapa final'!#REF!="Muy Alta",'Mapa final'!#REF!="Leve"),CONCATENATE("R7C",'Mapa final'!#REF!),"")</f>
        <v>#REF!</v>
      </c>
      <c r="K12" s="51" t="e">
        <f>IF(AND('Mapa final'!#REF!="Muy Alta",'Mapa final'!#REF!="Leve"),CONCATENATE("R7C",'Mapa final'!#REF!),"")</f>
        <v>#REF!</v>
      </c>
      <c r="L12" s="51" t="e">
        <f>IF(AND('Mapa final'!#REF!="Muy Alta",'Mapa final'!#REF!="Leve"),CONCATENATE("R7C",'Mapa final'!#REF!),"")</f>
        <v>#REF!</v>
      </c>
      <c r="M12" s="51" t="e">
        <f>IF(AND('Mapa final'!#REF!="Muy Alta",'Mapa final'!#REF!="Leve"),CONCATENATE("R7C",'Mapa final'!#REF!),"")</f>
        <v>#REF!</v>
      </c>
      <c r="N12" s="51" t="e">
        <f>IF(AND('Mapa final'!#REF!="Muy Alta",'Mapa final'!#REF!="Leve"),CONCATENATE("R7C",'Mapa final'!#REF!),"")</f>
        <v>#REF!</v>
      </c>
      <c r="O12" s="52" t="e">
        <f>IF(AND('Mapa final'!#REF!="Muy Alta",'Mapa final'!#REF!="Leve"),CONCATENATE("R7C",'Mapa final'!#REF!),"")</f>
        <v>#REF!</v>
      </c>
      <c r="P12" s="50" t="e">
        <f>IF(AND('Mapa final'!#REF!="Muy Alta",'Mapa final'!#REF!="Menor"),CONCATENATE("R7C",'Mapa final'!#REF!),"")</f>
        <v>#REF!</v>
      </c>
      <c r="Q12" s="51" t="e">
        <f>IF(AND('Mapa final'!#REF!="Muy Alta",'Mapa final'!#REF!="Menor"),CONCATENATE("R7C",'Mapa final'!#REF!),"")</f>
        <v>#REF!</v>
      </c>
      <c r="R12" s="51" t="e">
        <f>IF(AND('Mapa final'!#REF!="Muy Alta",'Mapa final'!#REF!="Menor"),CONCATENATE("R7C",'Mapa final'!#REF!),"")</f>
        <v>#REF!</v>
      </c>
      <c r="S12" s="51" t="e">
        <f>IF(AND('Mapa final'!#REF!="Muy Alta",'Mapa final'!#REF!="Menor"),CONCATENATE("R7C",'Mapa final'!#REF!),"")</f>
        <v>#REF!</v>
      </c>
      <c r="T12" s="51" t="e">
        <f>IF(AND('Mapa final'!#REF!="Muy Alta",'Mapa final'!#REF!="Menor"),CONCATENATE("R7C",'Mapa final'!#REF!),"")</f>
        <v>#REF!</v>
      </c>
      <c r="U12" s="52" t="e">
        <f>IF(AND('Mapa final'!#REF!="Muy Alta",'Mapa final'!#REF!="Menor"),CONCATENATE("R7C",'Mapa final'!#REF!),"")</f>
        <v>#REF!</v>
      </c>
      <c r="V12" s="50" t="e">
        <f>IF(AND('Mapa final'!#REF!="Muy Alta",'Mapa final'!#REF!="Moderado"),CONCATENATE("R7C",'Mapa final'!#REF!),"")</f>
        <v>#REF!</v>
      </c>
      <c r="W12" s="51" t="e">
        <f>IF(AND('Mapa final'!#REF!="Muy Alta",'Mapa final'!#REF!="Moderado"),CONCATENATE("R7C",'Mapa final'!#REF!),"")</f>
        <v>#REF!</v>
      </c>
      <c r="X12" s="51" t="e">
        <f>IF(AND('Mapa final'!#REF!="Muy Alta",'Mapa final'!#REF!="Moderado"),CONCATENATE("R7C",'Mapa final'!#REF!),"")</f>
        <v>#REF!</v>
      </c>
      <c r="Y12" s="51" t="e">
        <f>IF(AND('Mapa final'!#REF!="Muy Alta",'Mapa final'!#REF!="Moderado"),CONCATENATE("R7C",'Mapa final'!#REF!),"")</f>
        <v>#REF!</v>
      </c>
      <c r="Z12" s="51" t="e">
        <f>IF(AND('Mapa final'!#REF!="Muy Alta",'Mapa final'!#REF!="Moderado"),CONCATENATE("R7C",'Mapa final'!#REF!),"")</f>
        <v>#REF!</v>
      </c>
      <c r="AA12" s="52" t="e">
        <f>IF(AND('Mapa final'!#REF!="Muy Alta",'Mapa final'!#REF!="Moderado"),CONCATENATE("R7C",'Mapa final'!#REF!),"")</f>
        <v>#REF!</v>
      </c>
      <c r="AB12" s="50" t="e">
        <f>IF(AND('Mapa final'!#REF!="Muy Alta",'Mapa final'!#REF!="Mayor"),CONCATENATE("R7C",'Mapa final'!#REF!),"")</f>
        <v>#REF!</v>
      </c>
      <c r="AC12" s="51" t="e">
        <f>IF(AND('Mapa final'!#REF!="Muy Alta",'Mapa final'!#REF!="Mayor"),CONCATENATE("R7C",'Mapa final'!#REF!),"")</f>
        <v>#REF!</v>
      </c>
      <c r="AD12" s="51" t="e">
        <f>IF(AND('Mapa final'!#REF!="Muy Alta",'Mapa final'!#REF!="Mayor"),CONCATENATE("R7C",'Mapa final'!#REF!),"")</f>
        <v>#REF!</v>
      </c>
      <c r="AE12" s="51" t="e">
        <f>IF(AND('Mapa final'!#REF!="Muy Alta",'Mapa final'!#REF!="Mayor"),CONCATENATE("R7C",'Mapa final'!#REF!),"")</f>
        <v>#REF!</v>
      </c>
      <c r="AF12" s="51" t="e">
        <f>IF(AND('Mapa final'!#REF!="Muy Alta",'Mapa final'!#REF!="Mayor"),CONCATENATE("R7C",'Mapa final'!#REF!),"")</f>
        <v>#REF!</v>
      </c>
      <c r="AG12" s="52" t="e">
        <f>IF(AND('Mapa final'!#REF!="Muy Alta",'Mapa final'!#REF!="Mayor"),CONCATENATE("R7C",'Mapa final'!#REF!),"")</f>
        <v>#REF!</v>
      </c>
      <c r="AH12" s="53" t="e">
        <f>IF(AND('Mapa final'!#REF!="Muy Alta",'Mapa final'!#REF!="Catastrófico"),CONCATENATE("R7C",'Mapa final'!#REF!),"")</f>
        <v>#REF!</v>
      </c>
      <c r="AI12" s="54" t="e">
        <f>IF(AND('Mapa final'!#REF!="Muy Alta",'Mapa final'!#REF!="Catastrófico"),CONCATENATE("R7C",'Mapa final'!#REF!),"")</f>
        <v>#REF!</v>
      </c>
      <c r="AJ12" s="54" t="e">
        <f>IF(AND('Mapa final'!#REF!="Muy Alta",'Mapa final'!#REF!="Catastrófico"),CONCATENATE("R7C",'Mapa final'!#REF!),"")</f>
        <v>#REF!</v>
      </c>
      <c r="AK12" s="54" t="e">
        <f>IF(AND('Mapa final'!#REF!="Muy Alta",'Mapa final'!#REF!="Catastrófico"),CONCATENATE("R7C",'Mapa final'!#REF!),"")</f>
        <v>#REF!</v>
      </c>
      <c r="AL12" s="54" t="e">
        <f>IF(AND('Mapa final'!#REF!="Muy Alta",'Mapa final'!#REF!="Catastrófico"),CONCATENATE("R7C",'Mapa final'!#REF!),"")</f>
        <v>#REF!</v>
      </c>
      <c r="AM12" s="55" t="e">
        <f>IF(AND('Mapa final'!#REF!="Muy Alta",'Mapa final'!#REF!="Catastrófico"),CONCATENATE("R7C",'Mapa final'!#REF!),"")</f>
        <v>#REF!</v>
      </c>
      <c r="AN12" s="81"/>
      <c r="AO12" s="459"/>
      <c r="AP12" s="460"/>
      <c r="AQ12" s="460"/>
      <c r="AR12" s="460"/>
      <c r="AS12" s="460"/>
      <c r="AT12" s="46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354"/>
      <c r="C13" s="354"/>
      <c r="D13" s="355"/>
      <c r="E13" s="453"/>
      <c r="F13" s="452"/>
      <c r="G13" s="452"/>
      <c r="H13" s="452"/>
      <c r="I13" s="468"/>
      <c r="J13" s="50" t="str">
        <f>IF(AND('Mapa final'!$Y$38="Muy Alta",'Mapa final'!$AA$38="Leve"),CONCATENATE("R8C",'Mapa final'!$O$38),"")</f>
        <v/>
      </c>
      <c r="K13" s="51" t="str">
        <f>IF(AND('Mapa final'!$Y$39="Muy Alta",'Mapa final'!$AA$39="Leve"),CONCATENATE("R8C",'Mapa final'!$O$39),"")</f>
        <v/>
      </c>
      <c r="L13" s="51" t="str">
        <f>IF(AND('Mapa final'!$Y$40="Muy Alta",'Mapa final'!$AA$40="Leve"),CONCATENATE("R8C",'Mapa final'!$O$40),"")</f>
        <v/>
      </c>
      <c r="M13" s="51" t="str">
        <f>IF(AND('Mapa final'!$Y$41="Muy Alta",'Mapa final'!$AA$41="Leve"),CONCATENATE("R8C",'Mapa final'!$O$41),"")</f>
        <v/>
      </c>
      <c r="N13" s="51" t="str">
        <f>IF(AND('Mapa final'!$Y$42="Muy Alta",'Mapa final'!$AA$42="Leve"),CONCATENATE("R8C",'Mapa final'!$O$42),"")</f>
        <v/>
      </c>
      <c r="O13" s="52" t="str">
        <f>IF(AND('Mapa final'!$Y$43="Muy Alta",'Mapa final'!$AA$43="Leve"),CONCATENATE("R8C",'Mapa final'!$O$43),"")</f>
        <v/>
      </c>
      <c r="P13" s="50" t="str">
        <f>IF(AND('Mapa final'!$Y$38="Muy Alta",'Mapa final'!$AA$38="Menor"),CONCATENATE("R8C",'Mapa final'!$O$38),"")</f>
        <v/>
      </c>
      <c r="Q13" s="51" t="str">
        <f>IF(AND('Mapa final'!$Y$39="Muy Alta",'Mapa final'!$AA$39="Menor"),CONCATENATE("R8C",'Mapa final'!$O$39),"")</f>
        <v/>
      </c>
      <c r="R13" s="51" t="str">
        <f>IF(AND('Mapa final'!$Y$40="Muy Alta",'Mapa final'!$AA$40="Menor"),CONCATENATE("R8C",'Mapa final'!$O$40),"")</f>
        <v/>
      </c>
      <c r="S13" s="51" t="str">
        <f>IF(AND('Mapa final'!$Y$41="Muy Alta",'Mapa final'!$AA$41="Menor"),CONCATENATE("R8C",'Mapa final'!$O$41),"")</f>
        <v/>
      </c>
      <c r="T13" s="51" t="str">
        <f>IF(AND('Mapa final'!$Y$42="Muy Alta",'Mapa final'!$AA$42="Menor"),CONCATENATE("R8C",'Mapa final'!$O$42),"")</f>
        <v/>
      </c>
      <c r="U13" s="52" t="str">
        <f>IF(AND('Mapa final'!$Y$43="Muy Alta",'Mapa final'!$AA$43="Menor"),CONCATENATE("R8C",'Mapa final'!$O$43),"")</f>
        <v/>
      </c>
      <c r="V13" s="50" t="str">
        <f>IF(AND('Mapa final'!$Y$38="Muy Alta",'Mapa final'!$AA$38="Moderado"),CONCATENATE("R8C",'Mapa final'!$O$38),"")</f>
        <v/>
      </c>
      <c r="W13" s="51" t="str">
        <f>IF(AND('Mapa final'!$Y$39="Muy Alta",'Mapa final'!$AA$39="Moderado"),CONCATENATE("R8C",'Mapa final'!$O$39),"")</f>
        <v/>
      </c>
      <c r="X13" s="51" t="str">
        <f>IF(AND('Mapa final'!$Y$40="Muy Alta",'Mapa final'!$AA$40="Moderado"),CONCATENATE("R8C",'Mapa final'!$O$40),"")</f>
        <v/>
      </c>
      <c r="Y13" s="51" t="str">
        <f>IF(AND('Mapa final'!$Y$41="Muy Alta",'Mapa final'!$AA$41="Moderado"),CONCATENATE("R8C",'Mapa final'!$O$41),"")</f>
        <v/>
      </c>
      <c r="Z13" s="51" t="str">
        <f>IF(AND('Mapa final'!$Y$42="Muy Alta",'Mapa final'!$AA$42="Moderado"),CONCATENATE("R8C",'Mapa final'!$O$42),"")</f>
        <v/>
      </c>
      <c r="AA13" s="52" t="str">
        <f>IF(AND('Mapa final'!$Y$43="Muy Alta",'Mapa final'!$AA$43="Moderado"),CONCATENATE("R8C",'Mapa final'!$O$43),"")</f>
        <v/>
      </c>
      <c r="AB13" s="50" t="str">
        <f>IF(AND('Mapa final'!$Y$38="Muy Alta",'Mapa final'!$AA$38="Mayor"),CONCATENATE("R8C",'Mapa final'!$O$38),"")</f>
        <v/>
      </c>
      <c r="AC13" s="51" t="str">
        <f>IF(AND('Mapa final'!$Y$39="Muy Alta",'Mapa final'!$AA$39="Mayor"),CONCATENATE("R8C",'Mapa final'!$O$39),"")</f>
        <v/>
      </c>
      <c r="AD13" s="51" t="str">
        <f>IF(AND('Mapa final'!$Y$40="Muy Alta",'Mapa final'!$AA$40="Mayor"),CONCATENATE("R8C",'Mapa final'!$O$40),"")</f>
        <v/>
      </c>
      <c r="AE13" s="51" t="str">
        <f>IF(AND('Mapa final'!$Y$41="Muy Alta",'Mapa final'!$AA$41="Mayor"),CONCATENATE("R8C",'Mapa final'!$O$41),"")</f>
        <v/>
      </c>
      <c r="AF13" s="51" t="str">
        <f>IF(AND('Mapa final'!$Y$42="Muy Alta",'Mapa final'!$AA$42="Mayor"),CONCATENATE("R8C",'Mapa final'!$O$42),"")</f>
        <v/>
      </c>
      <c r="AG13" s="52" t="str">
        <f>IF(AND('Mapa final'!$Y$43="Muy Alta",'Mapa final'!$AA$43="Mayor"),CONCATENATE("R8C",'Mapa final'!$O$43),"")</f>
        <v/>
      </c>
      <c r="AH13" s="53" t="str">
        <f>IF(AND('Mapa final'!$Y$38="Muy Alta",'Mapa final'!$AA$38="Catastrófico"),CONCATENATE("R8C",'Mapa final'!$O$38),"")</f>
        <v/>
      </c>
      <c r="AI13" s="54" t="str">
        <f>IF(AND('Mapa final'!$Y$39="Muy Alta",'Mapa final'!$AA$39="Catastrófico"),CONCATENATE("R8C",'Mapa final'!$O$39),"")</f>
        <v/>
      </c>
      <c r="AJ13" s="54" t="str">
        <f>IF(AND('Mapa final'!$Y$40="Muy Alta",'Mapa final'!$AA$40="Catastrófico"),CONCATENATE("R8C",'Mapa final'!$O$40),"")</f>
        <v/>
      </c>
      <c r="AK13" s="54" t="str">
        <f>IF(AND('Mapa final'!$Y$41="Muy Alta",'Mapa final'!$AA$41="Catastrófico"),CONCATENATE("R8C",'Mapa final'!$O$41),"")</f>
        <v/>
      </c>
      <c r="AL13" s="54" t="str">
        <f>IF(AND('Mapa final'!$Y$42="Muy Alta",'Mapa final'!$AA$42="Catastrófico"),CONCATENATE("R8C",'Mapa final'!$O$42),"")</f>
        <v/>
      </c>
      <c r="AM13" s="55" t="str">
        <f>IF(AND('Mapa final'!$Y$43="Muy Alta",'Mapa final'!$AA$43="Catastrófico"),CONCATENATE("R8C",'Mapa final'!$O$43),"")</f>
        <v/>
      </c>
      <c r="AN13" s="81"/>
      <c r="AO13" s="459"/>
      <c r="AP13" s="460"/>
      <c r="AQ13" s="460"/>
      <c r="AR13" s="460"/>
      <c r="AS13" s="460"/>
      <c r="AT13" s="46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354"/>
      <c r="C14" s="354"/>
      <c r="D14" s="355"/>
      <c r="E14" s="453"/>
      <c r="F14" s="452"/>
      <c r="G14" s="452"/>
      <c r="H14" s="452"/>
      <c r="I14" s="468"/>
      <c r="J14" s="50" t="str">
        <f>IF(AND('Mapa final'!$Y$44="Muy Alta",'Mapa final'!$AA$44="Leve"),CONCATENATE("R9C",'Mapa final'!$O$44),"")</f>
        <v/>
      </c>
      <c r="K14" s="51" t="str">
        <f>IF(AND('Mapa final'!$Y$45="Muy Alta",'Mapa final'!$AA$45="Leve"),CONCATENATE("R9C",'Mapa final'!$O$45),"")</f>
        <v/>
      </c>
      <c r="L14" s="51" t="str">
        <f>IF(AND('Mapa final'!$Y$46="Muy Alta",'Mapa final'!$AA$46="Leve"),CONCATENATE("R9C",'Mapa final'!$O$46),"")</f>
        <v/>
      </c>
      <c r="M14" s="51" t="str">
        <f>IF(AND('Mapa final'!$Y$47="Muy Alta",'Mapa final'!$AA$47="Leve"),CONCATENATE("R9C",'Mapa final'!$O$47),"")</f>
        <v/>
      </c>
      <c r="N14" s="51" t="str">
        <f>IF(AND('Mapa final'!$Y$48="Muy Alta",'Mapa final'!$AA$48="Leve"),CONCATENATE("R9C",'Mapa final'!$O$48),"")</f>
        <v/>
      </c>
      <c r="O14" s="52" t="str">
        <f>IF(AND('Mapa final'!$Y$49="Muy Alta",'Mapa final'!$AA$49="Leve"),CONCATENATE("R9C",'Mapa final'!$O$49),"")</f>
        <v/>
      </c>
      <c r="P14" s="50" t="str">
        <f>IF(AND('Mapa final'!$Y$44="Muy Alta",'Mapa final'!$AA$44="Menor"),CONCATENATE("R9C",'Mapa final'!$O$44),"")</f>
        <v/>
      </c>
      <c r="Q14" s="51" t="str">
        <f>IF(AND('Mapa final'!$Y$45="Muy Alta",'Mapa final'!$AA$45="Menor"),CONCATENATE("R9C",'Mapa final'!$O$45),"")</f>
        <v/>
      </c>
      <c r="R14" s="51" t="str">
        <f>IF(AND('Mapa final'!$Y$46="Muy Alta",'Mapa final'!$AA$46="Menor"),CONCATENATE("R9C",'Mapa final'!$O$46),"")</f>
        <v/>
      </c>
      <c r="S14" s="51" t="str">
        <f>IF(AND('Mapa final'!$Y$47="Muy Alta",'Mapa final'!$AA$47="Menor"),CONCATENATE("R9C",'Mapa final'!$O$47),"")</f>
        <v/>
      </c>
      <c r="T14" s="51" t="str">
        <f>IF(AND('Mapa final'!$Y$48="Muy Alta",'Mapa final'!$AA$48="Menor"),CONCATENATE("R9C",'Mapa final'!$O$48),"")</f>
        <v/>
      </c>
      <c r="U14" s="52" t="str">
        <f>IF(AND('Mapa final'!$Y$49="Muy Alta",'Mapa final'!$AA$49="Menor"),CONCATENATE("R9C",'Mapa final'!$O$49),"")</f>
        <v/>
      </c>
      <c r="V14" s="50" t="str">
        <f>IF(AND('Mapa final'!$Y$44="Muy Alta",'Mapa final'!$AA$44="Moderado"),CONCATENATE("R9C",'Mapa final'!$O$44),"")</f>
        <v/>
      </c>
      <c r="W14" s="51" t="str">
        <f>IF(AND('Mapa final'!$Y$45="Muy Alta",'Mapa final'!$AA$45="Moderado"),CONCATENATE("R9C",'Mapa final'!$O$45),"")</f>
        <v/>
      </c>
      <c r="X14" s="51" t="str">
        <f>IF(AND('Mapa final'!$Y$46="Muy Alta",'Mapa final'!$AA$46="Moderado"),CONCATENATE("R9C",'Mapa final'!$O$46),"")</f>
        <v/>
      </c>
      <c r="Y14" s="51" t="str">
        <f>IF(AND('Mapa final'!$Y$47="Muy Alta",'Mapa final'!$AA$47="Moderado"),CONCATENATE("R9C",'Mapa final'!$O$47),"")</f>
        <v/>
      </c>
      <c r="Z14" s="51" t="str">
        <f>IF(AND('Mapa final'!$Y$48="Muy Alta",'Mapa final'!$AA$48="Moderado"),CONCATENATE("R9C",'Mapa final'!$O$48),"")</f>
        <v/>
      </c>
      <c r="AA14" s="52" t="str">
        <f>IF(AND('Mapa final'!$Y$49="Muy Alta",'Mapa final'!$AA$49="Moderado"),CONCATENATE("R9C",'Mapa final'!$O$49),"")</f>
        <v/>
      </c>
      <c r="AB14" s="50" t="str">
        <f>IF(AND('Mapa final'!$Y$44="Muy Alta",'Mapa final'!$AA$44="Mayor"),CONCATENATE("R9C",'Mapa final'!$O$44),"")</f>
        <v/>
      </c>
      <c r="AC14" s="51" t="str">
        <f>IF(AND('Mapa final'!$Y$45="Muy Alta",'Mapa final'!$AA$45="Mayor"),CONCATENATE("R9C",'Mapa final'!$O$45),"")</f>
        <v/>
      </c>
      <c r="AD14" s="51" t="str">
        <f>IF(AND('Mapa final'!$Y$46="Muy Alta",'Mapa final'!$AA$46="Mayor"),CONCATENATE("R9C",'Mapa final'!$O$46),"")</f>
        <v/>
      </c>
      <c r="AE14" s="51" t="str">
        <f>IF(AND('Mapa final'!$Y$47="Muy Alta",'Mapa final'!$AA$47="Mayor"),CONCATENATE("R9C",'Mapa final'!$O$47),"")</f>
        <v/>
      </c>
      <c r="AF14" s="51" t="str">
        <f>IF(AND('Mapa final'!$Y$48="Muy Alta",'Mapa final'!$AA$48="Mayor"),CONCATENATE("R9C",'Mapa final'!$O$48),"")</f>
        <v/>
      </c>
      <c r="AG14" s="52" t="str">
        <f>IF(AND('Mapa final'!$Y$49="Muy Alta",'Mapa final'!$AA$49="Mayor"),CONCATENATE("R9C",'Mapa final'!$O$49),"")</f>
        <v/>
      </c>
      <c r="AH14" s="53" t="str">
        <f>IF(AND('Mapa final'!$Y$44="Muy Alta",'Mapa final'!$AA$44="Catastrófico"),CONCATENATE("R9C",'Mapa final'!$O$44),"")</f>
        <v/>
      </c>
      <c r="AI14" s="54" t="str">
        <f>IF(AND('Mapa final'!$Y$45="Muy Alta",'Mapa final'!$AA$45="Catastrófico"),CONCATENATE("R9C",'Mapa final'!$O$45),"")</f>
        <v/>
      </c>
      <c r="AJ14" s="54" t="str">
        <f>IF(AND('Mapa final'!$Y$46="Muy Alta",'Mapa final'!$AA$46="Catastrófico"),CONCATENATE("R9C",'Mapa final'!$O$46),"")</f>
        <v/>
      </c>
      <c r="AK14" s="54" t="str">
        <f>IF(AND('Mapa final'!$Y$47="Muy Alta",'Mapa final'!$AA$47="Catastrófico"),CONCATENATE("R9C",'Mapa final'!$O$47),"")</f>
        <v/>
      </c>
      <c r="AL14" s="54" t="str">
        <f>IF(AND('Mapa final'!$Y$48="Muy Alta",'Mapa final'!$AA$48="Catastrófico"),CONCATENATE("R9C",'Mapa final'!$O$48),"")</f>
        <v/>
      </c>
      <c r="AM14" s="55" t="str">
        <f>IF(AND('Mapa final'!$Y$49="Muy Alta",'Mapa final'!$AA$49="Catastrófico"),CONCATENATE("R9C",'Mapa final'!$O$49),"")</f>
        <v/>
      </c>
      <c r="AN14" s="81"/>
      <c r="AO14" s="459"/>
      <c r="AP14" s="460"/>
      <c r="AQ14" s="460"/>
      <c r="AR14" s="460"/>
      <c r="AS14" s="460"/>
      <c r="AT14" s="46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354"/>
      <c r="C15" s="354"/>
      <c r="D15" s="355"/>
      <c r="E15" s="454"/>
      <c r="F15" s="455"/>
      <c r="G15" s="455"/>
      <c r="H15" s="455"/>
      <c r="I15" s="469"/>
      <c r="J15" s="56" t="str">
        <f>IF(AND('Mapa final'!$Y$50="Muy Alta",'Mapa final'!$AA$50="Leve"),CONCATENATE("R10C",'Mapa final'!$O$50),"")</f>
        <v/>
      </c>
      <c r="K15" s="57" t="str">
        <f>IF(AND('Mapa final'!$Y$51="Muy Alta",'Mapa final'!$AA$51="Leve"),CONCATENATE("R10C",'Mapa final'!$O$51),"")</f>
        <v/>
      </c>
      <c r="L15" s="57" t="str">
        <f>IF(AND('Mapa final'!$Y$52="Muy Alta",'Mapa final'!$AA$52="Leve"),CONCATENATE("R10C",'Mapa final'!$O$52),"")</f>
        <v/>
      </c>
      <c r="M15" s="57" t="str">
        <f>IF(AND('Mapa final'!$Y$53="Muy Alta",'Mapa final'!$AA$53="Leve"),CONCATENATE("R10C",'Mapa final'!$O$53),"")</f>
        <v/>
      </c>
      <c r="N15" s="57" t="str">
        <f>IF(AND('Mapa final'!$Y$54="Muy Alta",'Mapa final'!$AA$54="Leve"),CONCATENATE("R10C",'Mapa final'!$O$54),"")</f>
        <v/>
      </c>
      <c r="O15" s="58" t="e">
        <f>IF(AND('Mapa final'!#REF!="Muy Alta",'Mapa final'!#REF!="Leve"),CONCATENATE("R10C",'Mapa final'!#REF!),"")</f>
        <v>#REF!</v>
      </c>
      <c r="P15" s="50" t="str">
        <f>IF(AND('Mapa final'!$Y$50="Muy Alta",'Mapa final'!$AA$50="Menor"),CONCATENATE("R10C",'Mapa final'!$O$50),"")</f>
        <v/>
      </c>
      <c r="Q15" s="51" t="str">
        <f>IF(AND('Mapa final'!$Y$51="Muy Alta",'Mapa final'!$AA$51="Menor"),CONCATENATE("R10C",'Mapa final'!$O$51),"")</f>
        <v/>
      </c>
      <c r="R15" s="51" t="str">
        <f>IF(AND('Mapa final'!$Y$52="Muy Alta",'Mapa final'!$AA$52="Menor"),CONCATENATE("R10C",'Mapa final'!$O$52),"")</f>
        <v/>
      </c>
      <c r="S15" s="51" t="str">
        <f>IF(AND('Mapa final'!$Y$53="Muy Alta",'Mapa final'!$AA$53="Menor"),CONCATENATE("R10C",'Mapa final'!$O$53),"")</f>
        <v/>
      </c>
      <c r="T15" s="51" t="str">
        <f>IF(AND('Mapa final'!$Y$54="Muy Alta",'Mapa final'!$AA$54="Menor"),CONCATENATE("R10C",'Mapa final'!$O$54),"")</f>
        <v/>
      </c>
      <c r="U15" s="52" t="e">
        <f>IF(AND('Mapa final'!#REF!="Muy Alta",'Mapa final'!#REF!="Menor"),CONCATENATE("R10C",'Mapa final'!#REF!),"")</f>
        <v>#REF!</v>
      </c>
      <c r="V15" s="56" t="str">
        <f>IF(AND('Mapa final'!$Y$50="Muy Alta",'Mapa final'!$AA$50="Moderado"),CONCATENATE("R10C",'Mapa final'!$O$50),"")</f>
        <v/>
      </c>
      <c r="W15" s="57" t="str">
        <f>IF(AND('Mapa final'!$Y$51="Muy Alta",'Mapa final'!$AA$51="Moderado"),CONCATENATE("R10C",'Mapa final'!$O$51),"")</f>
        <v/>
      </c>
      <c r="X15" s="57" t="str">
        <f>IF(AND('Mapa final'!$Y$52="Muy Alta",'Mapa final'!$AA$52="Moderado"),CONCATENATE("R10C",'Mapa final'!$O$52),"")</f>
        <v/>
      </c>
      <c r="Y15" s="57" t="str">
        <f>IF(AND('Mapa final'!$Y$53="Muy Alta",'Mapa final'!$AA$53="Moderado"),CONCATENATE("R10C",'Mapa final'!$O$53),"")</f>
        <v/>
      </c>
      <c r="Z15" s="57" t="str">
        <f>IF(AND('Mapa final'!$Y$54="Muy Alta",'Mapa final'!$AA$54="Moderado"),CONCATENATE("R10C",'Mapa final'!$O$54),"")</f>
        <v/>
      </c>
      <c r="AA15" s="58" t="e">
        <f>IF(AND('Mapa final'!#REF!="Muy Alta",'Mapa final'!#REF!="Moderado"),CONCATENATE("R10C",'Mapa final'!#REF!),"")</f>
        <v>#REF!</v>
      </c>
      <c r="AB15" s="50" t="str">
        <f>IF(AND('Mapa final'!$Y$50="Muy Alta",'Mapa final'!$AA$50="Mayor"),CONCATENATE("R10C",'Mapa final'!$O$50),"")</f>
        <v/>
      </c>
      <c r="AC15" s="51" t="str">
        <f>IF(AND('Mapa final'!$Y$51="Muy Alta",'Mapa final'!$AA$51="Mayor"),CONCATENATE("R10C",'Mapa final'!$O$51),"")</f>
        <v/>
      </c>
      <c r="AD15" s="51" t="str">
        <f>IF(AND('Mapa final'!$Y$52="Muy Alta",'Mapa final'!$AA$52="Mayor"),CONCATENATE("R10C",'Mapa final'!$O$52),"")</f>
        <v/>
      </c>
      <c r="AE15" s="51" t="str">
        <f>IF(AND('Mapa final'!$Y$53="Muy Alta",'Mapa final'!$AA$53="Mayor"),CONCATENATE("R10C",'Mapa final'!$O$53),"")</f>
        <v/>
      </c>
      <c r="AF15" s="51" t="str">
        <f>IF(AND('Mapa final'!$Y$54="Muy Alta",'Mapa final'!$AA$54="Mayor"),CONCATENATE("R10C",'Mapa final'!$O$54),"")</f>
        <v/>
      </c>
      <c r="AG15" s="52" t="e">
        <f>IF(AND('Mapa final'!#REF!="Muy Alta",'Mapa final'!#REF!="Mayor"),CONCATENATE("R10C",'Mapa final'!#REF!),"")</f>
        <v>#REF!</v>
      </c>
      <c r="AH15" s="59" t="str">
        <f>IF(AND('Mapa final'!$Y$50="Muy Alta",'Mapa final'!$AA$50="Catastrófico"),CONCATENATE("R10C",'Mapa final'!$O$50),"")</f>
        <v/>
      </c>
      <c r="AI15" s="60" t="str">
        <f>IF(AND('Mapa final'!$Y$51="Muy Alta",'Mapa final'!$AA$51="Catastrófico"),CONCATENATE("R10C",'Mapa final'!$O$51),"")</f>
        <v/>
      </c>
      <c r="AJ15" s="60" t="str">
        <f>IF(AND('Mapa final'!$Y$52="Muy Alta",'Mapa final'!$AA$52="Catastrófico"),CONCATENATE("R10C",'Mapa final'!$O$52),"")</f>
        <v/>
      </c>
      <c r="AK15" s="60" t="str">
        <f>IF(AND('Mapa final'!$Y$53="Muy Alta",'Mapa final'!$AA$53="Catastrófico"),CONCATENATE("R10C",'Mapa final'!$O$53),"")</f>
        <v/>
      </c>
      <c r="AL15" s="60" t="str">
        <f>IF(AND('Mapa final'!$Y$54="Muy Alta",'Mapa final'!$AA$54="Catastrófico"),CONCATENATE("R10C",'Mapa final'!$O$54),"")</f>
        <v/>
      </c>
      <c r="AM15" s="61" t="e">
        <f>IF(AND('Mapa final'!#REF!="Muy Alta",'Mapa final'!#REF!="Catastrófico"),CONCATENATE("R10C",'Mapa final'!#REF!),"")</f>
        <v>#REF!</v>
      </c>
      <c r="AN15" s="81"/>
      <c r="AO15" s="462"/>
      <c r="AP15" s="463"/>
      <c r="AQ15" s="463"/>
      <c r="AR15" s="463"/>
      <c r="AS15" s="463"/>
      <c r="AT15" s="464"/>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354"/>
      <c r="C16" s="354"/>
      <c r="D16" s="355"/>
      <c r="E16" s="449" t="s">
        <v>186</v>
      </c>
      <c r="F16" s="450"/>
      <c r="G16" s="450"/>
      <c r="H16" s="450"/>
      <c r="I16" s="450"/>
      <c r="J16" s="62" t="str">
        <f>IF(AND('Mapa final'!$Y$32="Alta",'Mapa final'!$AA$32="Leve"),CONCATENATE("R1C",'Mapa final'!$O$32),"")</f>
        <v/>
      </c>
      <c r="K16" s="63" t="str">
        <f>IF(AND('Mapa final'!$Y$33="Alta",'Mapa final'!$AA$33="Leve"),CONCATENATE("R1C",'Mapa final'!$O$33),"")</f>
        <v/>
      </c>
      <c r="L16" s="63" t="e">
        <f>IF(AND('Mapa final'!#REF!="Alta",'Mapa final'!#REF!="Leve"),CONCATENATE("R1C",'Mapa final'!#REF!),"")</f>
        <v>#REF!</v>
      </c>
      <c r="M16" s="63" t="e">
        <f>IF(AND('Mapa final'!#REF!="Alta",'Mapa final'!#REF!="Leve"),CONCATENATE("R1C",'Mapa final'!#REF!),"")</f>
        <v>#REF!</v>
      </c>
      <c r="N16" s="63" t="e">
        <f>IF(AND('Mapa final'!#REF!="Alta",'Mapa final'!#REF!="Leve"),CONCATENATE("R1C",'Mapa final'!#REF!),"")</f>
        <v>#REF!</v>
      </c>
      <c r="O16" s="64" t="e">
        <f>IF(AND('Mapa final'!#REF!="Alta",'Mapa final'!#REF!="Leve"),CONCATENATE("R1C",'Mapa final'!#REF!),"")</f>
        <v>#REF!</v>
      </c>
      <c r="P16" s="62" t="str">
        <f>IF(AND('Mapa final'!$Y$32="Alta",'Mapa final'!$AA$32="Menor"),CONCATENATE("R1C",'Mapa final'!$O$32),"")</f>
        <v/>
      </c>
      <c r="Q16" s="63" t="str">
        <f>IF(AND('Mapa final'!$Y$33="Alta",'Mapa final'!$AA$33="Menor"),CONCATENATE("R1C",'Mapa final'!$O$33),"")</f>
        <v/>
      </c>
      <c r="R16" s="63" t="e">
        <f>IF(AND('Mapa final'!#REF!="Alta",'Mapa final'!#REF!="Menor"),CONCATENATE("R1C",'Mapa final'!#REF!),"")</f>
        <v>#REF!</v>
      </c>
      <c r="S16" s="63" t="e">
        <f>IF(AND('Mapa final'!#REF!="Alta",'Mapa final'!#REF!="Menor"),CONCATENATE("R1C",'Mapa final'!#REF!),"")</f>
        <v>#REF!</v>
      </c>
      <c r="T16" s="63" t="e">
        <f>IF(AND('Mapa final'!#REF!="Alta",'Mapa final'!#REF!="Menor"),CONCATENATE("R1C",'Mapa final'!#REF!),"")</f>
        <v>#REF!</v>
      </c>
      <c r="U16" s="64" t="e">
        <f>IF(AND('Mapa final'!#REF!="Alta",'Mapa final'!#REF!="Menor"),CONCATENATE("R1C",'Mapa final'!#REF!),"")</f>
        <v>#REF!</v>
      </c>
      <c r="V16" s="44" t="str">
        <f>IF(AND('Mapa final'!$Y$32="Alta",'Mapa final'!$AA$32="Moderado"),CONCATENATE("R1C",'Mapa final'!$O$32),"")</f>
        <v/>
      </c>
      <c r="W16" s="45" t="str">
        <f>IF(AND('Mapa final'!$Y$33="Alta",'Mapa final'!$AA$33="Moderado"),CONCATENATE("R1C",'Mapa final'!$O$33),"")</f>
        <v/>
      </c>
      <c r="X16" s="45" t="e">
        <f>IF(AND('Mapa final'!#REF!="Alta",'Mapa final'!#REF!="Moderado"),CONCATENATE("R1C",'Mapa final'!#REF!),"")</f>
        <v>#REF!</v>
      </c>
      <c r="Y16" s="45" t="e">
        <f>IF(AND('Mapa final'!#REF!="Alta",'Mapa final'!#REF!="Moderado"),CONCATENATE("R1C",'Mapa final'!#REF!),"")</f>
        <v>#REF!</v>
      </c>
      <c r="Z16" s="45" t="e">
        <f>IF(AND('Mapa final'!#REF!="Alta",'Mapa final'!#REF!="Moderado"),CONCATENATE("R1C",'Mapa final'!#REF!),"")</f>
        <v>#REF!</v>
      </c>
      <c r="AA16" s="46" t="e">
        <f>IF(AND('Mapa final'!#REF!="Alta",'Mapa final'!#REF!="Moderado"),CONCATENATE("R1C",'Mapa final'!#REF!),"")</f>
        <v>#REF!</v>
      </c>
      <c r="AB16" s="44" t="str">
        <f>IF(AND('Mapa final'!$Y$32="Alta",'Mapa final'!$AA$32="Mayor"),CONCATENATE("R1C",'Mapa final'!$O$32),"")</f>
        <v/>
      </c>
      <c r="AC16" s="45" t="str">
        <f>IF(AND('Mapa final'!$Y$33="Alta",'Mapa final'!$AA$33="Mayor"),CONCATENATE("R1C",'Mapa final'!$O$33),"")</f>
        <v/>
      </c>
      <c r="AD16" s="45" t="e">
        <f>IF(AND('Mapa final'!#REF!="Alta",'Mapa final'!#REF!="Mayor"),CONCATENATE("R1C",'Mapa final'!#REF!),"")</f>
        <v>#REF!</v>
      </c>
      <c r="AE16" s="45" t="e">
        <f>IF(AND('Mapa final'!#REF!="Alta",'Mapa final'!#REF!="Mayor"),CONCATENATE("R1C",'Mapa final'!#REF!),"")</f>
        <v>#REF!</v>
      </c>
      <c r="AF16" s="45" t="e">
        <f>IF(AND('Mapa final'!#REF!="Alta",'Mapa final'!#REF!="Mayor"),CONCATENATE("R1C",'Mapa final'!#REF!),"")</f>
        <v>#REF!</v>
      </c>
      <c r="AG16" s="46" t="e">
        <f>IF(AND('Mapa final'!#REF!="Alta",'Mapa final'!#REF!="Mayor"),CONCATENATE("R1C",'Mapa final'!#REF!),"")</f>
        <v>#REF!</v>
      </c>
      <c r="AH16" s="47" t="str">
        <f>IF(AND('Mapa final'!$Y$32="Alta",'Mapa final'!$AA$32="Catastrófico"),CONCATENATE("R1C",'Mapa final'!$O$32),"")</f>
        <v/>
      </c>
      <c r="AI16" s="48" t="str">
        <f>IF(AND('Mapa final'!$Y$33="Alta",'Mapa final'!$AA$33="Catastrófico"),CONCATENATE("R1C",'Mapa final'!$O$33),"")</f>
        <v/>
      </c>
      <c r="AJ16" s="48" t="e">
        <f>IF(AND('Mapa final'!#REF!="Alta",'Mapa final'!#REF!="Catastrófico"),CONCATENATE("R1C",'Mapa final'!#REF!),"")</f>
        <v>#REF!</v>
      </c>
      <c r="AK16" s="48" t="e">
        <f>IF(AND('Mapa final'!#REF!="Alta",'Mapa final'!#REF!="Catastrófico"),CONCATENATE("R1C",'Mapa final'!#REF!),"")</f>
        <v>#REF!</v>
      </c>
      <c r="AL16" s="48" t="e">
        <f>IF(AND('Mapa final'!#REF!="Alta",'Mapa final'!#REF!="Catastrófico"),CONCATENATE("R1C",'Mapa final'!#REF!),"")</f>
        <v>#REF!</v>
      </c>
      <c r="AM16" s="49" t="e">
        <f>IF(AND('Mapa final'!#REF!="Alta",'Mapa final'!#REF!="Catastrófico"),CONCATENATE("R1C",'Mapa final'!#REF!),"")</f>
        <v>#REF!</v>
      </c>
      <c r="AN16" s="81"/>
      <c r="AO16" s="440" t="s">
        <v>187</v>
      </c>
      <c r="AP16" s="441"/>
      <c r="AQ16" s="441"/>
      <c r="AR16" s="441"/>
      <c r="AS16" s="441"/>
      <c r="AT16" s="442"/>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354"/>
      <c r="C17" s="354"/>
      <c r="D17" s="355"/>
      <c r="E17" s="451"/>
      <c r="F17" s="452"/>
      <c r="G17" s="452"/>
      <c r="H17" s="452"/>
      <c r="I17" s="452"/>
      <c r="J17" s="65" t="str">
        <f>IF(AND('Mapa final'!$Y$34="Alta",'Mapa final'!$AA$34="Leve"),CONCATENATE("R2C",'Mapa final'!$O$34),"")</f>
        <v/>
      </c>
      <c r="K17" s="66" t="e">
        <f>IF(AND('Mapa final'!#REF!="Alta",'Mapa final'!#REF!="Leve"),CONCATENATE("R2C",'Mapa final'!#REF!),"")</f>
        <v>#REF!</v>
      </c>
      <c r="L17" s="66" t="e">
        <f>IF(AND('Mapa final'!#REF!="Alta",'Mapa final'!#REF!="Leve"),CONCATENATE("R2C",'Mapa final'!#REF!),"")</f>
        <v>#REF!</v>
      </c>
      <c r="M17" s="66" t="e">
        <f>IF(AND('Mapa final'!#REF!="Alta",'Mapa final'!#REF!="Leve"),CONCATENATE("R2C",'Mapa final'!#REF!),"")</f>
        <v>#REF!</v>
      </c>
      <c r="N17" s="66" t="e">
        <f>IF(AND('Mapa final'!#REF!="Alta",'Mapa final'!#REF!="Leve"),CONCATENATE("R2C",'Mapa final'!#REF!),"")</f>
        <v>#REF!</v>
      </c>
      <c r="O17" s="67" t="e">
        <f>IF(AND('Mapa final'!#REF!="Alta",'Mapa final'!#REF!="Leve"),CONCATENATE("R2C",'Mapa final'!#REF!),"")</f>
        <v>#REF!</v>
      </c>
      <c r="P17" s="65" t="str">
        <f>IF(AND('Mapa final'!$Y$34="Alta",'Mapa final'!$AA$34="Menor"),CONCATENATE("R2C",'Mapa final'!$O$34),"")</f>
        <v/>
      </c>
      <c r="Q17" s="66" t="e">
        <f>IF(AND('Mapa final'!#REF!="Alta",'Mapa final'!#REF!="Menor"),CONCATENATE("R2C",'Mapa final'!#REF!),"")</f>
        <v>#REF!</v>
      </c>
      <c r="R17" s="66" t="e">
        <f>IF(AND('Mapa final'!#REF!="Alta",'Mapa final'!#REF!="Menor"),CONCATENATE("R2C",'Mapa final'!#REF!),"")</f>
        <v>#REF!</v>
      </c>
      <c r="S17" s="66" t="e">
        <f>IF(AND('Mapa final'!#REF!="Alta",'Mapa final'!#REF!="Menor"),CONCATENATE("R2C",'Mapa final'!#REF!),"")</f>
        <v>#REF!</v>
      </c>
      <c r="T17" s="66" t="e">
        <f>IF(AND('Mapa final'!#REF!="Alta",'Mapa final'!#REF!="Menor"),CONCATENATE("R2C",'Mapa final'!#REF!),"")</f>
        <v>#REF!</v>
      </c>
      <c r="U17" s="67" t="e">
        <f>IF(AND('Mapa final'!#REF!="Alta",'Mapa final'!#REF!="Menor"),CONCATENATE("R2C",'Mapa final'!#REF!),"")</f>
        <v>#REF!</v>
      </c>
      <c r="V17" s="50" t="str">
        <f>IF(AND('Mapa final'!$Y$34="Alta",'Mapa final'!$AA$34="Moderado"),CONCATENATE("R2C",'Mapa final'!$O$34),"")</f>
        <v/>
      </c>
      <c r="W17" s="51" t="e">
        <f>IF(AND('Mapa final'!#REF!="Alta",'Mapa final'!#REF!="Moderado"),CONCATENATE("R2C",'Mapa final'!#REF!),"")</f>
        <v>#REF!</v>
      </c>
      <c r="X17" s="51" t="e">
        <f>IF(AND('Mapa final'!#REF!="Alta",'Mapa final'!#REF!="Moderado"),CONCATENATE("R2C",'Mapa final'!#REF!),"")</f>
        <v>#REF!</v>
      </c>
      <c r="Y17" s="51" t="e">
        <f>IF(AND('Mapa final'!#REF!="Alta",'Mapa final'!#REF!="Moderado"),CONCATENATE("R2C",'Mapa final'!#REF!),"")</f>
        <v>#REF!</v>
      </c>
      <c r="Z17" s="51" t="e">
        <f>IF(AND('Mapa final'!#REF!="Alta",'Mapa final'!#REF!="Moderado"),CONCATENATE("R2C",'Mapa final'!#REF!),"")</f>
        <v>#REF!</v>
      </c>
      <c r="AA17" s="52" t="e">
        <f>IF(AND('Mapa final'!#REF!="Alta",'Mapa final'!#REF!="Moderado"),CONCATENATE("R2C",'Mapa final'!#REF!),"")</f>
        <v>#REF!</v>
      </c>
      <c r="AB17" s="50" t="str">
        <f>IF(AND('Mapa final'!$Y$34="Alta",'Mapa final'!$AA$34="Mayor"),CONCATENATE("R2C",'Mapa final'!$O$34),"")</f>
        <v/>
      </c>
      <c r="AC17" s="51" t="e">
        <f>IF(AND('Mapa final'!#REF!="Alta",'Mapa final'!#REF!="Mayor"),CONCATENATE("R2C",'Mapa final'!#REF!),"")</f>
        <v>#REF!</v>
      </c>
      <c r="AD17" s="51" t="e">
        <f>IF(AND('Mapa final'!#REF!="Alta",'Mapa final'!#REF!="Mayor"),CONCATENATE("R2C",'Mapa final'!#REF!),"")</f>
        <v>#REF!</v>
      </c>
      <c r="AE17" s="51" t="e">
        <f>IF(AND('Mapa final'!#REF!="Alta",'Mapa final'!#REF!="Mayor"),CONCATENATE("R2C",'Mapa final'!#REF!),"")</f>
        <v>#REF!</v>
      </c>
      <c r="AF17" s="51" t="e">
        <f>IF(AND('Mapa final'!#REF!="Alta",'Mapa final'!#REF!="Mayor"),CONCATENATE("R2C",'Mapa final'!#REF!),"")</f>
        <v>#REF!</v>
      </c>
      <c r="AG17" s="52" t="e">
        <f>IF(AND('Mapa final'!#REF!="Alta",'Mapa final'!#REF!="Mayor"),CONCATENATE("R2C",'Mapa final'!#REF!),"")</f>
        <v>#REF!</v>
      </c>
      <c r="AH17" s="53" t="str">
        <f>IF(AND('Mapa final'!$Y$34="Alta",'Mapa final'!$AA$34="Catastrófico"),CONCATENATE("R2C",'Mapa final'!$O$34),"")</f>
        <v/>
      </c>
      <c r="AI17" s="54" t="e">
        <f>IF(AND('Mapa final'!#REF!="Alta",'Mapa final'!#REF!="Catastrófico"),CONCATENATE("R2C",'Mapa final'!#REF!),"")</f>
        <v>#REF!</v>
      </c>
      <c r="AJ17" s="54" t="e">
        <f>IF(AND('Mapa final'!#REF!="Alta",'Mapa final'!#REF!="Catastrófico"),CONCATENATE("R2C",'Mapa final'!#REF!),"")</f>
        <v>#REF!</v>
      </c>
      <c r="AK17" s="54" t="e">
        <f>IF(AND('Mapa final'!#REF!="Alta",'Mapa final'!#REF!="Catastrófico"),CONCATENATE("R2C",'Mapa final'!#REF!),"")</f>
        <v>#REF!</v>
      </c>
      <c r="AL17" s="54" t="e">
        <f>IF(AND('Mapa final'!#REF!="Alta",'Mapa final'!#REF!="Catastrófico"),CONCATENATE("R2C",'Mapa final'!#REF!),"")</f>
        <v>#REF!</v>
      </c>
      <c r="AM17" s="55" t="e">
        <f>IF(AND('Mapa final'!#REF!="Alta",'Mapa final'!#REF!="Catastrófico"),CONCATENATE("R2C",'Mapa final'!#REF!),"")</f>
        <v>#REF!</v>
      </c>
      <c r="AN17" s="81"/>
      <c r="AO17" s="443"/>
      <c r="AP17" s="444"/>
      <c r="AQ17" s="444"/>
      <c r="AR17" s="444"/>
      <c r="AS17" s="444"/>
      <c r="AT17" s="445"/>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354"/>
      <c r="C18" s="354"/>
      <c r="D18" s="355"/>
      <c r="E18" s="453"/>
      <c r="F18" s="452"/>
      <c r="G18" s="452"/>
      <c r="H18" s="452"/>
      <c r="I18" s="452"/>
      <c r="J18" s="65" t="str">
        <f>IF(AND('Mapa final'!$Y$35="Alta",'Mapa final'!$AA$35="Leve"),CONCATENATE("R3C",'Mapa final'!$O$35),"")</f>
        <v/>
      </c>
      <c r="K18" s="66" t="e">
        <f>IF(AND('Mapa final'!#REF!="Alta",'Mapa final'!#REF!="Leve"),CONCATENATE("R3C",'Mapa final'!#REF!),"")</f>
        <v>#REF!</v>
      </c>
      <c r="L18" s="66" t="e">
        <f>IF(AND('Mapa final'!#REF!="Alta",'Mapa final'!#REF!="Leve"),CONCATENATE("R3C",'Mapa final'!#REF!),"")</f>
        <v>#REF!</v>
      </c>
      <c r="M18" s="66" t="e">
        <f>IF(AND('Mapa final'!#REF!="Alta",'Mapa final'!#REF!="Leve"),CONCATENATE("R3C",'Mapa final'!#REF!),"")</f>
        <v>#REF!</v>
      </c>
      <c r="N18" s="66" t="e">
        <f>IF(AND('Mapa final'!#REF!="Alta",'Mapa final'!#REF!="Leve"),CONCATENATE("R3C",'Mapa final'!#REF!),"")</f>
        <v>#REF!</v>
      </c>
      <c r="O18" s="67" t="e">
        <f>IF(AND('Mapa final'!#REF!="Alta",'Mapa final'!#REF!="Leve"),CONCATENATE("R3C",'Mapa final'!#REF!),"")</f>
        <v>#REF!</v>
      </c>
      <c r="P18" s="65" t="str">
        <f>IF(AND('Mapa final'!$Y$35="Alta",'Mapa final'!$AA$35="Menor"),CONCATENATE("R3C",'Mapa final'!$O$35),"")</f>
        <v/>
      </c>
      <c r="Q18" s="66" t="e">
        <f>IF(AND('Mapa final'!#REF!="Alta",'Mapa final'!#REF!="Menor"),CONCATENATE("R3C",'Mapa final'!#REF!),"")</f>
        <v>#REF!</v>
      </c>
      <c r="R18" s="66" t="e">
        <f>IF(AND('Mapa final'!#REF!="Alta",'Mapa final'!#REF!="Menor"),CONCATENATE("R3C",'Mapa final'!#REF!),"")</f>
        <v>#REF!</v>
      </c>
      <c r="S18" s="66" t="e">
        <f>IF(AND('Mapa final'!#REF!="Alta",'Mapa final'!#REF!="Menor"),CONCATENATE("R3C",'Mapa final'!#REF!),"")</f>
        <v>#REF!</v>
      </c>
      <c r="T18" s="66" t="e">
        <f>IF(AND('Mapa final'!#REF!="Alta",'Mapa final'!#REF!="Menor"),CONCATENATE("R3C",'Mapa final'!#REF!),"")</f>
        <v>#REF!</v>
      </c>
      <c r="U18" s="67" t="e">
        <f>IF(AND('Mapa final'!#REF!="Alta",'Mapa final'!#REF!="Menor"),CONCATENATE("R3C",'Mapa final'!#REF!),"")</f>
        <v>#REF!</v>
      </c>
      <c r="V18" s="50" t="str">
        <f>IF(AND('Mapa final'!$Y$35="Alta",'Mapa final'!$AA$35="Moderado"),CONCATENATE("R3C",'Mapa final'!$O$35),"")</f>
        <v/>
      </c>
      <c r="W18" s="51" t="e">
        <f>IF(AND('Mapa final'!#REF!="Alta",'Mapa final'!#REF!="Moderado"),CONCATENATE("R3C",'Mapa final'!#REF!),"")</f>
        <v>#REF!</v>
      </c>
      <c r="X18" s="51" t="e">
        <f>IF(AND('Mapa final'!#REF!="Alta",'Mapa final'!#REF!="Moderado"),CONCATENATE("R3C",'Mapa final'!#REF!),"")</f>
        <v>#REF!</v>
      </c>
      <c r="Y18" s="51" t="e">
        <f>IF(AND('Mapa final'!#REF!="Alta",'Mapa final'!#REF!="Moderado"),CONCATENATE("R3C",'Mapa final'!#REF!),"")</f>
        <v>#REF!</v>
      </c>
      <c r="Z18" s="51" t="e">
        <f>IF(AND('Mapa final'!#REF!="Alta",'Mapa final'!#REF!="Moderado"),CONCATENATE("R3C",'Mapa final'!#REF!),"")</f>
        <v>#REF!</v>
      </c>
      <c r="AA18" s="52" t="e">
        <f>IF(AND('Mapa final'!#REF!="Alta",'Mapa final'!#REF!="Moderado"),CONCATENATE("R3C",'Mapa final'!#REF!),"")</f>
        <v>#REF!</v>
      </c>
      <c r="AB18" s="50" t="str">
        <f>IF(AND('Mapa final'!$Y$35="Alta",'Mapa final'!$AA$35="Mayor"),CONCATENATE("R3C",'Mapa final'!$O$35),"")</f>
        <v/>
      </c>
      <c r="AC18" s="51" t="e">
        <f>IF(AND('Mapa final'!#REF!="Alta",'Mapa final'!#REF!="Mayor"),CONCATENATE("R3C",'Mapa final'!#REF!),"")</f>
        <v>#REF!</v>
      </c>
      <c r="AD18" s="51" t="e">
        <f>IF(AND('Mapa final'!#REF!="Alta",'Mapa final'!#REF!="Mayor"),CONCATENATE("R3C",'Mapa final'!#REF!),"")</f>
        <v>#REF!</v>
      </c>
      <c r="AE18" s="51" t="e">
        <f>IF(AND('Mapa final'!#REF!="Alta",'Mapa final'!#REF!="Mayor"),CONCATENATE("R3C",'Mapa final'!#REF!),"")</f>
        <v>#REF!</v>
      </c>
      <c r="AF18" s="51" t="e">
        <f>IF(AND('Mapa final'!#REF!="Alta",'Mapa final'!#REF!="Mayor"),CONCATENATE("R3C",'Mapa final'!#REF!),"")</f>
        <v>#REF!</v>
      </c>
      <c r="AG18" s="52" t="e">
        <f>IF(AND('Mapa final'!#REF!="Alta",'Mapa final'!#REF!="Mayor"),CONCATENATE("R3C",'Mapa final'!#REF!),"")</f>
        <v>#REF!</v>
      </c>
      <c r="AH18" s="53" t="str">
        <f>IF(AND('Mapa final'!$Y$35="Alta",'Mapa final'!$AA$35="Catastrófico"),CONCATENATE("R3C",'Mapa final'!$O$35),"")</f>
        <v/>
      </c>
      <c r="AI18" s="54" t="e">
        <f>IF(AND('Mapa final'!#REF!="Alta",'Mapa final'!#REF!="Catastrófico"),CONCATENATE("R3C",'Mapa final'!#REF!),"")</f>
        <v>#REF!</v>
      </c>
      <c r="AJ18" s="54" t="e">
        <f>IF(AND('Mapa final'!#REF!="Alta",'Mapa final'!#REF!="Catastrófico"),CONCATENATE("R3C",'Mapa final'!#REF!),"")</f>
        <v>#REF!</v>
      </c>
      <c r="AK18" s="54" t="e">
        <f>IF(AND('Mapa final'!#REF!="Alta",'Mapa final'!#REF!="Catastrófico"),CONCATENATE("R3C",'Mapa final'!#REF!),"")</f>
        <v>#REF!</v>
      </c>
      <c r="AL18" s="54" t="e">
        <f>IF(AND('Mapa final'!#REF!="Alta",'Mapa final'!#REF!="Catastrófico"),CONCATENATE("R3C",'Mapa final'!#REF!),"")</f>
        <v>#REF!</v>
      </c>
      <c r="AM18" s="55" t="e">
        <f>IF(AND('Mapa final'!#REF!="Alta",'Mapa final'!#REF!="Catastrófico"),CONCATENATE("R3C",'Mapa final'!#REF!),"")</f>
        <v>#REF!</v>
      </c>
      <c r="AN18" s="81"/>
      <c r="AO18" s="443"/>
      <c r="AP18" s="444"/>
      <c r="AQ18" s="444"/>
      <c r="AR18" s="444"/>
      <c r="AS18" s="444"/>
      <c r="AT18" s="445"/>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354"/>
      <c r="C19" s="354"/>
      <c r="D19" s="355"/>
      <c r="E19" s="453"/>
      <c r="F19" s="452"/>
      <c r="G19" s="452"/>
      <c r="H19" s="452"/>
      <c r="I19" s="452"/>
      <c r="J19" s="65" t="str">
        <f>IF(AND('Mapa final'!$Y$36="Alta",'Mapa final'!$AA$36="Leve"),CONCATENATE("R4C",'Mapa final'!$O$36),"")</f>
        <v/>
      </c>
      <c r="K19" s="66" t="e">
        <f>IF(AND('Mapa final'!#REF!="Alta",'Mapa final'!#REF!="Leve"),CONCATENATE("R4C",'Mapa final'!#REF!),"")</f>
        <v>#REF!</v>
      </c>
      <c r="L19" s="66" t="e">
        <f>IF(AND('Mapa final'!#REF!="Alta",'Mapa final'!#REF!="Leve"),CONCATENATE("R4C",'Mapa final'!#REF!),"")</f>
        <v>#REF!</v>
      </c>
      <c r="M19" s="66" t="e">
        <f>IF(AND('Mapa final'!#REF!="Alta",'Mapa final'!#REF!="Leve"),CONCATENATE("R4C",'Mapa final'!#REF!),"")</f>
        <v>#REF!</v>
      </c>
      <c r="N19" s="66" t="e">
        <f>IF(AND('Mapa final'!#REF!="Alta",'Mapa final'!#REF!="Leve"),CONCATENATE("R4C",'Mapa final'!#REF!),"")</f>
        <v>#REF!</v>
      </c>
      <c r="O19" s="67" t="e">
        <f>IF(AND('Mapa final'!#REF!="Alta",'Mapa final'!#REF!="Leve"),CONCATENATE("R4C",'Mapa final'!#REF!),"")</f>
        <v>#REF!</v>
      </c>
      <c r="P19" s="65" t="str">
        <f>IF(AND('Mapa final'!$Y$36="Alta",'Mapa final'!$AA$36="Menor"),CONCATENATE("R4C",'Mapa final'!$O$36),"")</f>
        <v/>
      </c>
      <c r="Q19" s="66" t="e">
        <f>IF(AND('Mapa final'!#REF!="Alta",'Mapa final'!#REF!="Menor"),CONCATENATE("R4C",'Mapa final'!#REF!),"")</f>
        <v>#REF!</v>
      </c>
      <c r="R19" s="66" t="e">
        <f>IF(AND('Mapa final'!#REF!="Alta",'Mapa final'!#REF!="Menor"),CONCATENATE("R4C",'Mapa final'!#REF!),"")</f>
        <v>#REF!</v>
      </c>
      <c r="S19" s="66" t="e">
        <f>IF(AND('Mapa final'!#REF!="Alta",'Mapa final'!#REF!="Menor"),CONCATENATE("R4C",'Mapa final'!#REF!),"")</f>
        <v>#REF!</v>
      </c>
      <c r="T19" s="66" t="e">
        <f>IF(AND('Mapa final'!#REF!="Alta",'Mapa final'!#REF!="Menor"),CONCATENATE("R4C",'Mapa final'!#REF!),"")</f>
        <v>#REF!</v>
      </c>
      <c r="U19" s="67" t="e">
        <f>IF(AND('Mapa final'!#REF!="Alta",'Mapa final'!#REF!="Menor"),CONCATENATE("R4C",'Mapa final'!#REF!),"")</f>
        <v>#REF!</v>
      </c>
      <c r="V19" s="50" t="str">
        <f>IF(AND('Mapa final'!$Y$36="Alta",'Mapa final'!$AA$36="Moderado"),CONCATENATE("R4C",'Mapa final'!$O$36),"")</f>
        <v/>
      </c>
      <c r="W19" s="51" t="e">
        <f>IF(AND('Mapa final'!#REF!="Alta",'Mapa final'!#REF!="Moderado"),CONCATENATE("R4C",'Mapa final'!#REF!),"")</f>
        <v>#REF!</v>
      </c>
      <c r="X19" s="51" t="e">
        <f>IF(AND('Mapa final'!#REF!="Alta",'Mapa final'!#REF!="Moderado"),CONCATENATE("R4C",'Mapa final'!#REF!),"")</f>
        <v>#REF!</v>
      </c>
      <c r="Y19" s="51" t="e">
        <f>IF(AND('Mapa final'!#REF!="Alta",'Mapa final'!#REF!="Moderado"),CONCATENATE("R4C",'Mapa final'!#REF!),"")</f>
        <v>#REF!</v>
      </c>
      <c r="Z19" s="51" t="e">
        <f>IF(AND('Mapa final'!#REF!="Alta",'Mapa final'!#REF!="Moderado"),CONCATENATE("R4C",'Mapa final'!#REF!),"")</f>
        <v>#REF!</v>
      </c>
      <c r="AA19" s="52" t="e">
        <f>IF(AND('Mapa final'!#REF!="Alta",'Mapa final'!#REF!="Moderado"),CONCATENATE("R4C",'Mapa final'!#REF!),"")</f>
        <v>#REF!</v>
      </c>
      <c r="AB19" s="50" t="str">
        <f>IF(AND('Mapa final'!$Y$36="Alta",'Mapa final'!$AA$36="Mayor"),CONCATENATE("R4C",'Mapa final'!$O$36),"")</f>
        <v/>
      </c>
      <c r="AC19" s="51" t="e">
        <f>IF(AND('Mapa final'!#REF!="Alta",'Mapa final'!#REF!="Mayor"),CONCATENATE("R4C",'Mapa final'!#REF!),"")</f>
        <v>#REF!</v>
      </c>
      <c r="AD19" s="51" t="e">
        <f>IF(AND('Mapa final'!#REF!="Alta",'Mapa final'!#REF!="Mayor"),CONCATENATE("R4C",'Mapa final'!#REF!),"")</f>
        <v>#REF!</v>
      </c>
      <c r="AE19" s="51" t="e">
        <f>IF(AND('Mapa final'!#REF!="Alta",'Mapa final'!#REF!="Mayor"),CONCATENATE("R4C",'Mapa final'!#REF!),"")</f>
        <v>#REF!</v>
      </c>
      <c r="AF19" s="51" t="e">
        <f>IF(AND('Mapa final'!#REF!="Alta",'Mapa final'!#REF!="Mayor"),CONCATENATE("R4C",'Mapa final'!#REF!),"")</f>
        <v>#REF!</v>
      </c>
      <c r="AG19" s="52" t="e">
        <f>IF(AND('Mapa final'!#REF!="Alta",'Mapa final'!#REF!="Mayor"),CONCATENATE("R4C",'Mapa final'!#REF!),"")</f>
        <v>#REF!</v>
      </c>
      <c r="AH19" s="53" t="str">
        <f>IF(AND('Mapa final'!$Y$36="Alta",'Mapa final'!$AA$36="Catastrófico"),CONCATENATE("R4C",'Mapa final'!$O$36),"")</f>
        <v/>
      </c>
      <c r="AI19" s="54" t="e">
        <f>IF(AND('Mapa final'!#REF!="Alta",'Mapa final'!#REF!="Catastrófico"),CONCATENATE("R4C",'Mapa final'!#REF!),"")</f>
        <v>#REF!</v>
      </c>
      <c r="AJ19" s="54" t="e">
        <f>IF(AND('Mapa final'!#REF!="Alta",'Mapa final'!#REF!="Catastrófico"),CONCATENATE("R4C",'Mapa final'!#REF!),"")</f>
        <v>#REF!</v>
      </c>
      <c r="AK19" s="54" t="e">
        <f>IF(AND('Mapa final'!#REF!="Alta",'Mapa final'!#REF!="Catastrófico"),CONCATENATE("R4C",'Mapa final'!#REF!),"")</f>
        <v>#REF!</v>
      </c>
      <c r="AL19" s="54" t="e">
        <f>IF(AND('Mapa final'!#REF!="Alta",'Mapa final'!#REF!="Catastrófico"),CONCATENATE("R4C",'Mapa final'!#REF!),"")</f>
        <v>#REF!</v>
      </c>
      <c r="AM19" s="55" t="e">
        <f>IF(AND('Mapa final'!#REF!="Alta",'Mapa final'!#REF!="Catastrófico"),CONCATENATE("R4C",'Mapa final'!#REF!),"")</f>
        <v>#REF!</v>
      </c>
      <c r="AN19" s="81"/>
      <c r="AO19" s="443"/>
      <c r="AP19" s="444"/>
      <c r="AQ19" s="444"/>
      <c r="AR19" s="444"/>
      <c r="AS19" s="444"/>
      <c r="AT19" s="445"/>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354"/>
      <c r="C20" s="354"/>
      <c r="D20" s="355"/>
      <c r="E20" s="453"/>
      <c r="F20" s="452"/>
      <c r="G20" s="452"/>
      <c r="H20" s="452"/>
      <c r="I20" s="452"/>
      <c r="J20" s="65" t="str">
        <f>IF(AND('Mapa final'!$Y$37="Alta",'Mapa final'!$AA$37="Leve"),CONCATENATE("R5C",'Mapa final'!$O$37),"")</f>
        <v/>
      </c>
      <c r="K20" s="66" t="e">
        <f>IF(AND('Mapa final'!#REF!="Alta",'Mapa final'!#REF!="Leve"),CONCATENATE("R5C",'Mapa final'!#REF!),"")</f>
        <v>#REF!</v>
      </c>
      <c r="L20" s="66" t="e">
        <f>IF(AND('Mapa final'!#REF!="Alta",'Mapa final'!#REF!="Leve"),CONCATENATE("R5C",'Mapa final'!#REF!),"")</f>
        <v>#REF!</v>
      </c>
      <c r="M20" s="66" t="e">
        <f>IF(AND('Mapa final'!#REF!="Alta",'Mapa final'!#REF!="Leve"),CONCATENATE("R5C",'Mapa final'!#REF!),"")</f>
        <v>#REF!</v>
      </c>
      <c r="N20" s="66" t="e">
        <f>IF(AND('Mapa final'!#REF!="Alta",'Mapa final'!#REF!="Leve"),CONCATENATE("R5C",'Mapa final'!#REF!),"")</f>
        <v>#REF!</v>
      </c>
      <c r="O20" s="67" t="e">
        <f>IF(AND('Mapa final'!#REF!="Alta",'Mapa final'!#REF!="Leve"),CONCATENATE("R5C",'Mapa final'!#REF!),"")</f>
        <v>#REF!</v>
      </c>
      <c r="P20" s="65" t="str">
        <f>IF(AND('Mapa final'!$Y$37="Alta",'Mapa final'!$AA$37="Menor"),CONCATENATE("R5C",'Mapa final'!$O$37),"")</f>
        <v/>
      </c>
      <c r="Q20" s="66" t="e">
        <f>IF(AND('Mapa final'!#REF!="Alta",'Mapa final'!#REF!="Menor"),CONCATENATE("R5C",'Mapa final'!#REF!),"")</f>
        <v>#REF!</v>
      </c>
      <c r="R20" s="66" t="e">
        <f>IF(AND('Mapa final'!#REF!="Alta",'Mapa final'!#REF!="Menor"),CONCATENATE("R5C",'Mapa final'!#REF!),"")</f>
        <v>#REF!</v>
      </c>
      <c r="S20" s="66" t="e">
        <f>IF(AND('Mapa final'!#REF!="Alta",'Mapa final'!#REF!="Menor"),CONCATENATE("R5C",'Mapa final'!#REF!),"")</f>
        <v>#REF!</v>
      </c>
      <c r="T20" s="66" t="e">
        <f>IF(AND('Mapa final'!#REF!="Alta",'Mapa final'!#REF!="Menor"),CONCATENATE("R5C",'Mapa final'!#REF!),"")</f>
        <v>#REF!</v>
      </c>
      <c r="U20" s="67" t="e">
        <f>IF(AND('Mapa final'!#REF!="Alta",'Mapa final'!#REF!="Menor"),CONCATENATE("R5C",'Mapa final'!#REF!),"")</f>
        <v>#REF!</v>
      </c>
      <c r="V20" s="50" t="str">
        <f>IF(AND('Mapa final'!$Y$37="Alta",'Mapa final'!$AA$37="Moderado"),CONCATENATE("R5C",'Mapa final'!$O$37),"")</f>
        <v/>
      </c>
      <c r="W20" s="51" t="e">
        <f>IF(AND('Mapa final'!#REF!="Alta",'Mapa final'!#REF!="Moderado"),CONCATENATE("R5C",'Mapa final'!#REF!),"")</f>
        <v>#REF!</v>
      </c>
      <c r="X20" s="51" t="e">
        <f>IF(AND('Mapa final'!#REF!="Alta",'Mapa final'!#REF!="Moderado"),CONCATENATE("R5C",'Mapa final'!#REF!),"")</f>
        <v>#REF!</v>
      </c>
      <c r="Y20" s="51" t="e">
        <f>IF(AND('Mapa final'!#REF!="Alta",'Mapa final'!#REF!="Moderado"),CONCATENATE("R5C",'Mapa final'!#REF!),"")</f>
        <v>#REF!</v>
      </c>
      <c r="Z20" s="51" t="e">
        <f>IF(AND('Mapa final'!#REF!="Alta",'Mapa final'!#REF!="Moderado"),CONCATENATE("R5C",'Mapa final'!#REF!),"")</f>
        <v>#REF!</v>
      </c>
      <c r="AA20" s="52" t="e">
        <f>IF(AND('Mapa final'!#REF!="Alta",'Mapa final'!#REF!="Moderado"),CONCATENATE("R5C",'Mapa final'!#REF!),"")</f>
        <v>#REF!</v>
      </c>
      <c r="AB20" s="50" t="str">
        <f>IF(AND('Mapa final'!$Y$37="Alta",'Mapa final'!$AA$37="Mayor"),CONCATENATE("R5C",'Mapa final'!$O$37),"")</f>
        <v/>
      </c>
      <c r="AC20" s="51" t="e">
        <f>IF(AND('Mapa final'!#REF!="Alta",'Mapa final'!#REF!="Mayor"),CONCATENATE("R5C",'Mapa final'!#REF!),"")</f>
        <v>#REF!</v>
      </c>
      <c r="AD20" s="51" t="e">
        <f>IF(AND('Mapa final'!#REF!="Alta",'Mapa final'!#REF!="Mayor"),CONCATENATE("R5C",'Mapa final'!#REF!),"")</f>
        <v>#REF!</v>
      </c>
      <c r="AE20" s="51" t="e">
        <f>IF(AND('Mapa final'!#REF!="Alta",'Mapa final'!#REF!="Mayor"),CONCATENATE("R5C",'Mapa final'!#REF!),"")</f>
        <v>#REF!</v>
      </c>
      <c r="AF20" s="51" t="e">
        <f>IF(AND('Mapa final'!#REF!="Alta",'Mapa final'!#REF!="Mayor"),CONCATENATE("R5C",'Mapa final'!#REF!),"")</f>
        <v>#REF!</v>
      </c>
      <c r="AG20" s="52" t="e">
        <f>IF(AND('Mapa final'!#REF!="Alta",'Mapa final'!#REF!="Mayor"),CONCATENATE("R5C",'Mapa final'!#REF!),"")</f>
        <v>#REF!</v>
      </c>
      <c r="AH20" s="53" t="str">
        <f>IF(AND('Mapa final'!$Y$37="Alta",'Mapa final'!$AA$37="Catastrófico"),CONCATENATE("R5C",'Mapa final'!$O$37),"")</f>
        <v/>
      </c>
      <c r="AI20" s="54" t="e">
        <f>IF(AND('Mapa final'!#REF!="Alta",'Mapa final'!#REF!="Catastrófico"),CONCATENATE("R5C",'Mapa final'!#REF!),"")</f>
        <v>#REF!</v>
      </c>
      <c r="AJ20" s="54" t="e">
        <f>IF(AND('Mapa final'!#REF!="Alta",'Mapa final'!#REF!="Catastrófico"),CONCATENATE("R5C",'Mapa final'!#REF!),"")</f>
        <v>#REF!</v>
      </c>
      <c r="AK20" s="54" t="e">
        <f>IF(AND('Mapa final'!#REF!="Alta",'Mapa final'!#REF!="Catastrófico"),CONCATENATE("R5C",'Mapa final'!#REF!),"")</f>
        <v>#REF!</v>
      </c>
      <c r="AL20" s="54" t="e">
        <f>IF(AND('Mapa final'!#REF!="Alta",'Mapa final'!#REF!="Catastrófico"),CONCATENATE("R5C",'Mapa final'!#REF!),"")</f>
        <v>#REF!</v>
      </c>
      <c r="AM20" s="55" t="e">
        <f>IF(AND('Mapa final'!#REF!="Alta",'Mapa final'!#REF!="Catastrófico"),CONCATENATE("R5C",'Mapa final'!#REF!),"")</f>
        <v>#REF!</v>
      </c>
      <c r="AN20" s="81"/>
      <c r="AO20" s="443"/>
      <c r="AP20" s="444"/>
      <c r="AQ20" s="444"/>
      <c r="AR20" s="444"/>
      <c r="AS20" s="444"/>
      <c r="AT20" s="445"/>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354"/>
      <c r="C21" s="354"/>
      <c r="D21" s="355"/>
      <c r="E21" s="453"/>
      <c r="F21" s="452"/>
      <c r="G21" s="452"/>
      <c r="H21" s="452"/>
      <c r="I21" s="452"/>
      <c r="J21" s="65" t="e">
        <f>IF(AND('Mapa final'!#REF!="Alta",'Mapa final'!#REF!="Leve"),CONCATENATE("R6C",'Mapa final'!#REF!),"")</f>
        <v>#REF!</v>
      </c>
      <c r="K21" s="66" t="e">
        <f>IF(AND('Mapa final'!#REF!="Alta",'Mapa final'!#REF!="Leve"),CONCATENATE("R6C",'Mapa final'!#REF!),"")</f>
        <v>#REF!</v>
      </c>
      <c r="L21" s="66" t="e">
        <f>IF(AND('Mapa final'!#REF!="Alta",'Mapa final'!#REF!="Leve"),CONCATENATE("R6C",'Mapa final'!#REF!),"")</f>
        <v>#REF!</v>
      </c>
      <c r="M21" s="66" t="e">
        <f>IF(AND('Mapa final'!#REF!="Alta",'Mapa final'!#REF!="Leve"),CONCATENATE("R6C",'Mapa final'!#REF!),"")</f>
        <v>#REF!</v>
      </c>
      <c r="N21" s="66" t="e">
        <f>IF(AND('Mapa final'!#REF!="Alta",'Mapa final'!#REF!="Leve"),CONCATENATE("R6C",'Mapa final'!#REF!),"")</f>
        <v>#REF!</v>
      </c>
      <c r="O21" s="67" t="e">
        <f>IF(AND('Mapa final'!#REF!="Alta",'Mapa final'!#REF!="Leve"),CONCATENATE("R6C",'Mapa final'!#REF!),"")</f>
        <v>#REF!</v>
      </c>
      <c r="P21" s="65" t="e">
        <f>IF(AND('Mapa final'!#REF!="Alta",'Mapa final'!#REF!="Menor"),CONCATENATE("R6C",'Mapa final'!#REF!),"")</f>
        <v>#REF!</v>
      </c>
      <c r="Q21" s="66" t="e">
        <f>IF(AND('Mapa final'!#REF!="Alta",'Mapa final'!#REF!="Menor"),CONCATENATE("R6C",'Mapa final'!#REF!),"")</f>
        <v>#REF!</v>
      </c>
      <c r="R21" s="66" t="e">
        <f>IF(AND('Mapa final'!#REF!="Alta",'Mapa final'!#REF!="Menor"),CONCATENATE("R6C",'Mapa final'!#REF!),"")</f>
        <v>#REF!</v>
      </c>
      <c r="S21" s="66" t="e">
        <f>IF(AND('Mapa final'!#REF!="Alta",'Mapa final'!#REF!="Menor"),CONCATENATE("R6C",'Mapa final'!#REF!),"")</f>
        <v>#REF!</v>
      </c>
      <c r="T21" s="66" t="e">
        <f>IF(AND('Mapa final'!#REF!="Alta",'Mapa final'!#REF!="Menor"),CONCATENATE("R6C",'Mapa final'!#REF!),"")</f>
        <v>#REF!</v>
      </c>
      <c r="U21" s="67" t="e">
        <f>IF(AND('Mapa final'!#REF!="Alta",'Mapa final'!#REF!="Menor"),CONCATENATE("R6C",'Mapa final'!#REF!),"")</f>
        <v>#REF!</v>
      </c>
      <c r="V21" s="50" t="e">
        <f>IF(AND('Mapa final'!#REF!="Alta",'Mapa final'!#REF!="Moderado"),CONCATENATE("R6C",'Mapa final'!#REF!),"")</f>
        <v>#REF!</v>
      </c>
      <c r="W21" s="51" t="e">
        <f>IF(AND('Mapa final'!#REF!="Alta",'Mapa final'!#REF!="Moderado"),CONCATENATE("R6C",'Mapa final'!#REF!),"")</f>
        <v>#REF!</v>
      </c>
      <c r="X21" s="51" t="e">
        <f>IF(AND('Mapa final'!#REF!="Alta",'Mapa final'!#REF!="Moderado"),CONCATENATE("R6C",'Mapa final'!#REF!),"")</f>
        <v>#REF!</v>
      </c>
      <c r="Y21" s="51" t="e">
        <f>IF(AND('Mapa final'!#REF!="Alta",'Mapa final'!#REF!="Moderado"),CONCATENATE("R6C",'Mapa final'!#REF!),"")</f>
        <v>#REF!</v>
      </c>
      <c r="Z21" s="51" t="e">
        <f>IF(AND('Mapa final'!#REF!="Alta",'Mapa final'!#REF!="Moderado"),CONCATENATE("R6C",'Mapa final'!#REF!),"")</f>
        <v>#REF!</v>
      </c>
      <c r="AA21" s="52" t="e">
        <f>IF(AND('Mapa final'!#REF!="Alta",'Mapa final'!#REF!="Moderado"),CONCATENATE("R6C",'Mapa final'!#REF!),"")</f>
        <v>#REF!</v>
      </c>
      <c r="AB21" s="50" t="e">
        <f>IF(AND('Mapa final'!#REF!="Alta",'Mapa final'!#REF!="Mayor"),CONCATENATE("R6C",'Mapa final'!#REF!),"")</f>
        <v>#REF!</v>
      </c>
      <c r="AC21" s="51" t="e">
        <f>IF(AND('Mapa final'!#REF!="Alta",'Mapa final'!#REF!="Mayor"),CONCATENATE("R6C",'Mapa final'!#REF!),"")</f>
        <v>#REF!</v>
      </c>
      <c r="AD21" s="51" t="e">
        <f>IF(AND('Mapa final'!#REF!="Alta",'Mapa final'!#REF!="Mayor"),CONCATENATE("R6C",'Mapa final'!#REF!),"")</f>
        <v>#REF!</v>
      </c>
      <c r="AE21" s="51" t="e">
        <f>IF(AND('Mapa final'!#REF!="Alta",'Mapa final'!#REF!="Mayor"),CONCATENATE("R6C",'Mapa final'!#REF!),"")</f>
        <v>#REF!</v>
      </c>
      <c r="AF21" s="51" t="e">
        <f>IF(AND('Mapa final'!#REF!="Alta",'Mapa final'!#REF!="Mayor"),CONCATENATE("R6C",'Mapa final'!#REF!),"")</f>
        <v>#REF!</v>
      </c>
      <c r="AG21" s="52" t="e">
        <f>IF(AND('Mapa final'!#REF!="Alta",'Mapa final'!#REF!="Mayor"),CONCATENATE("R6C",'Mapa final'!#REF!),"")</f>
        <v>#REF!</v>
      </c>
      <c r="AH21" s="53" t="e">
        <f>IF(AND('Mapa final'!#REF!="Alta",'Mapa final'!#REF!="Catastrófico"),CONCATENATE("R6C",'Mapa final'!#REF!),"")</f>
        <v>#REF!</v>
      </c>
      <c r="AI21" s="54" t="e">
        <f>IF(AND('Mapa final'!#REF!="Alta",'Mapa final'!#REF!="Catastrófico"),CONCATENATE("R6C",'Mapa final'!#REF!),"")</f>
        <v>#REF!</v>
      </c>
      <c r="AJ21" s="54" t="e">
        <f>IF(AND('Mapa final'!#REF!="Alta",'Mapa final'!#REF!="Catastrófico"),CONCATENATE("R6C",'Mapa final'!#REF!),"")</f>
        <v>#REF!</v>
      </c>
      <c r="AK21" s="54" t="e">
        <f>IF(AND('Mapa final'!#REF!="Alta",'Mapa final'!#REF!="Catastrófico"),CONCATENATE("R6C",'Mapa final'!#REF!),"")</f>
        <v>#REF!</v>
      </c>
      <c r="AL21" s="54" t="e">
        <f>IF(AND('Mapa final'!#REF!="Alta",'Mapa final'!#REF!="Catastrófico"),CONCATENATE("R6C",'Mapa final'!#REF!),"")</f>
        <v>#REF!</v>
      </c>
      <c r="AM21" s="55" t="e">
        <f>IF(AND('Mapa final'!#REF!="Alta",'Mapa final'!#REF!="Catastrófico"),CONCATENATE("R6C",'Mapa final'!#REF!),"")</f>
        <v>#REF!</v>
      </c>
      <c r="AN21" s="81"/>
      <c r="AO21" s="443"/>
      <c r="AP21" s="444"/>
      <c r="AQ21" s="444"/>
      <c r="AR21" s="444"/>
      <c r="AS21" s="444"/>
      <c r="AT21" s="445"/>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354"/>
      <c r="C22" s="354"/>
      <c r="D22" s="355"/>
      <c r="E22" s="453"/>
      <c r="F22" s="452"/>
      <c r="G22" s="452"/>
      <c r="H22" s="452"/>
      <c r="I22" s="452"/>
      <c r="J22" s="65" t="e">
        <f>IF(AND('Mapa final'!#REF!="Alta",'Mapa final'!#REF!="Leve"),CONCATENATE("R7C",'Mapa final'!#REF!),"")</f>
        <v>#REF!</v>
      </c>
      <c r="K22" s="66" t="e">
        <f>IF(AND('Mapa final'!#REF!="Alta",'Mapa final'!#REF!="Leve"),CONCATENATE("R7C",'Mapa final'!#REF!),"")</f>
        <v>#REF!</v>
      </c>
      <c r="L22" s="66" t="e">
        <f>IF(AND('Mapa final'!#REF!="Alta",'Mapa final'!#REF!="Leve"),CONCATENATE("R7C",'Mapa final'!#REF!),"")</f>
        <v>#REF!</v>
      </c>
      <c r="M22" s="66" t="e">
        <f>IF(AND('Mapa final'!#REF!="Alta",'Mapa final'!#REF!="Leve"),CONCATENATE("R7C",'Mapa final'!#REF!),"")</f>
        <v>#REF!</v>
      </c>
      <c r="N22" s="66" t="e">
        <f>IF(AND('Mapa final'!#REF!="Alta",'Mapa final'!#REF!="Leve"),CONCATENATE("R7C",'Mapa final'!#REF!),"")</f>
        <v>#REF!</v>
      </c>
      <c r="O22" s="67" t="e">
        <f>IF(AND('Mapa final'!#REF!="Alta",'Mapa final'!#REF!="Leve"),CONCATENATE("R7C",'Mapa final'!#REF!),"")</f>
        <v>#REF!</v>
      </c>
      <c r="P22" s="65" t="e">
        <f>IF(AND('Mapa final'!#REF!="Alta",'Mapa final'!#REF!="Menor"),CONCATENATE("R7C",'Mapa final'!#REF!),"")</f>
        <v>#REF!</v>
      </c>
      <c r="Q22" s="66" t="e">
        <f>IF(AND('Mapa final'!#REF!="Alta",'Mapa final'!#REF!="Menor"),CONCATENATE("R7C",'Mapa final'!#REF!),"")</f>
        <v>#REF!</v>
      </c>
      <c r="R22" s="66" t="e">
        <f>IF(AND('Mapa final'!#REF!="Alta",'Mapa final'!#REF!="Menor"),CONCATENATE("R7C",'Mapa final'!#REF!),"")</f>
        <v>#REF!</v>
      </c>
      <c r="S22" s="66" t="e">
        <f>IF(AND('Mapa final'!#REF!="Alta",'Mapa final'!#REF!="Menor"),CONCATENATE("R7C",'Mapa final'!#REF!),"")</f>
        <v>#REF!</v>
      </c>
      <c r="T22" s="66" t="e">
        <f>IF(AND('Mapa final'!#REF!="Alta",'Mapa final'!#REF!="Menor"),CONCATENATE("R7C",'Mapa final'!#REF!),"")</f>
        <v>#REF!</v>
      </c>
      <c r="U22" s="67" t="e">
        <f>IF(AND('Mapa final'!#REF!="Alta",'Mapa final'!#REF!="Menor"),CONCATENATE("R7C",'Mapa final'!#REF!),"")</f>
        <v>#REF!</v>
      </c>
      <c r="V22" s="50" t="e">
        <f>IF(AND('Mapa final'!#REF!="Alta",'Mapa final'!#REF!="Moderado"),CONCATENATE("R7C",'Mapa final'!#REF!),"")</f>
        <v>#REF!</v>
      </c>
      <c r="W22" s="51" t="e">
        <f>IF(AND('Mapa final'!#REF!="Alta",'Mapa final'!#REF!="Moderado"),CONCATENATE("R7C",'Mapa final'!#REF!),"")</f>
        <v>#REF!</v>
      </c>
      <c r="X22" s="51" t="e">
        <f>IF(AND('Mapa final'!#REF!="Alta",'Mapa final'!#REF!="Moderado"),CONCATENATE("R7C",'Mapa final'!#REF!),"")</f>
        <v>#REF!</v>
      </c>
      <c r="Y22" s="51" t="e">
        <f>IF(AND('Mapa final'!#REF!="Alta",'Mapa final'!#REF!="Moderado"),CONCATENATE("R7C",'Mapa final'!#REF!),"")</f>
        <v>#REF!</v>
      </c>
      <c r="Z22" s="51" t="e">
        <f>IF(AND('Mapa final'!#REF!="Alta",'Mapa final'!#REF!="Moderado"),CONCATENATE("R7C",'Mapa final'!#REF!),"")</f>
        <v>#REF!</v>
      </c>
      <c r="AA22" s="52" t="e">
        <f>IF(AND('Mapa final'!#REF!="Alta",'Mapa final'!#REF!="Moderado"),CONCATENATE("R7C",'Mapa final'!#REF!),"")</f>
        <v>#REF!</v>
      </c>
      <c r="AB22" s="50" t="e">
        <f>IF(AND('Mapa final'!#REF!="Alta",'Mapa final'!#REF!="Mayor"),CONCATENATE("R7C",'Mapa final'!#REF!),"")</f>
        <v>#REF!</v>
      </c>
      <c r="AC22" s="51" t="e">
        <f>IF(AND('Mapa final'!#REF!="Alta",'Mapa final'!#REF!="Mayor"),CONCATENATE("R7C",'Mapa final'!#REF!),"")</f>
        <v>#REF!</v>
      </c>
      <c r="AD22" s="51" t="e">
        <f>IF(AND('Mapa final'!#REF!="Alta",'Mapa final'!#REF!="Mayor"),CONCATENATE("R7C",'Mapa final'!#REF!),"")</f>
        <v>#REF!</v>
      </c>
      <c r="AE22" s="51" t="e">
        <f>IF(AND('Mapa final'!#REF!="Alta",'Mapa final'!#REF!="Mayor"),CONCATENATE("R7C",'Mapa final'!#REF!),"")</f>
        <v>#REF!</v>
      </c>
      <c r="AF22" s="51" t="e">
        <f>IF(AND('Mapa final'!#REF!="Alta",'Mapa final'!#REF!="Mayor"),CONCATENATE("R7C",'Mapa final'!#REF!),"")</f>
        <v>#REF!</v>
      </c>
      <c r="AG22" s="52" t="e">
        <f>IF(AND('Mapa final'!#REF!="Alta",'Mapa final'!#REF!="Mayor"),CONCATENATE("R7C",'Mapa final'!#REF!),"")</f>
        <v>#REF!</v>
      </c>
      <c r="AH22" s="53" t="e">
        <f>IF(AND('Mapa final'!#REF!="Alta",'Mapa final'!#REF!="Catastrófico"),CONCATENATE("R7C",'Mapa final'!#REF!),"")</f>
        <v>#REF!</v>
      </c>
      <c r="AI22" s="54" t="e">
        <f>IF(AND('Mapa final'!#REF!="Alta",'Mapa final'!#REF!="Catastrófico"),CONCATENATE("R7C",'Mapa final'!#REF!),"")</f>
        <v>#REF!</v>
      </c>
      <c r="AJ22" s="54" t="e">
        <f>IF(AND('Mapa final'!#REF!="Alta",'Mapa final'!#REF!="Catastrófico"),CONCATENATE("R7C",'Mapa final'!#REF!),"")</f>
        <v>#REF!</v>
      </c>
      <c r="AK22" s="54" t="e">
        <f>IF(AND('Mapa final'!#REF!="Alta",'Mapa final'!#REF!="Catastrófico"),CONCATENATE("R7C",'Mapa final'!#REF!),"")</f>
        <v>#REF!</v>
      </c>
      <c r="AL22" s="54" t="e">
        <f>IF(AND('Mapa final'!#REF!="Alta",'Mapa final'!#REF!="Catastrófico"),CONCATENATE("R7C",'Mapa final'!#REF!),"")</f>
        <v>#REF!</v>
      </c>
      <c r="AM22" s="55" t="e">
        <f>IF(AND('Mapa final'!#REF!="Alta",'Mapa final'!#REF!="Catastrófico"),CONCATENATE("R7C",'Mapa final'!#REF!),"")</f>
        <v>#REF!</v>
      </c>
      <c r="AN22" s="81"/>
      <c r="AO22" s="443"/>
      <c r="AP22" s="444"/>
      <c r="AQ22" s="444"/>
      <c r="AR22" s="444"/>
      <c r="AS22" s="444"/>
      <c r="AT22" s="445"/>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354"/>
      <c r="C23" s="354"/>
      <c r="D23" s="355"/>
      <c r="E23" s="453"/>
      <c r="F23" s="452"/>
      <c r="G23" s="452"/>
      <c r="H23" s="452"/>
      <c r="I23" s="452"/>
      <c r="J23" s="65" t="str">
        <f>IF(AND('Mapa final'!$Y$38="Alta",'Mapa final'!$AA$38="Leve"),CONCATENATE("R8C",'Mapa final'!$O$38),"")</f>
        <v/>
      </c>
      <c r="K23" s="66" t="str">
        <f>IF(AND('Mapa final'!$Y$39="Alta",'Mapa final'!$AA$39="Leve"),CONCATENATE("R8C",'Mapa final'!$O$39),"")</f>
        <v/>
      </c>
      <c r="L23" s="66" t="str">
        <f>IF(AND('Mapa final'!$Y$40="Alta",'Mapa final'!$AA$40="Leve"),CONCATENATE("R8C",'Mapa final'!$O$40),"")</f>
        <v/>
      </c>
      <c r="M23" s="66" t="str">
        <f>IF(AND('Mapa final'!$Y$41="Alta",'Mapa final'!$AA$41="Leve"),CONCATENATE("R8C",'Mapa final'!$O$41),"")</f>
        <v/>
      </c>
      <c r="N23" s="66" t="str">
        <f>IF(AND('Mapa final'!$Y$42="Alta",'Mapa final'!$AA$42="Leve"),CONCATENATE("R8C",'Mapa final'!$O$42),"")</f>
        <v/>
      </c>
      <c r="O23" s="67" t="str">
        <f>IF(AND('Mapa final'!$Y$43="Alta",'Mapa final'!$AA$43="Leve"),CONCATENATE("R8C",'Mapa final'!$O$43),"")</f>
        <v/>
      </c>
      <c r="P23" s="65" t="str">
        <f>IF(AND('Mapa final'!$Y$38="Alta",'Mapa final'!$AA$38="Menor"),CONCATENATE("R8C",'Mapa final'!$O$38),"")</f>
        <v/>
      </c>
      <c r="Q23" s="66" t="str">
        <f>IF(AND('Mapa final'!$Y$39="Alta",'Mapa final'!$AA$39="Menor"),CONCATENATE("R8C",'Mapa final'!$O$39),"")</f>
        <v/>
      </c>
      <c r="R23" s="66" t="str">
        <f>IF(AND('Mapa final'!$Y$40="Alta",'Mapa final'!$AA$40="Menor"),CONCATENATE("R8C",'Mapa final'!$O$40),"")</f>
        <v/>
      </c>
      <c r="S23" s="66" t="str">
        <f>IF(AND('Mapa final'!$Y$41="Alta",'Mapa final'!$AA$41="Menor"),CONCATENATE("R8C",'Mapa final'!$O$41),"")</f>
        <v/>
      </c>
      <c r="T23" s="66" t="str">
        <f>IF(AND('Mapa final'!$Y$42="Alta",'Mapa final'!$AA$42="Menor"),CONCATENATE("R8C",'Mapa final'!$O$42),"")</f>
        <v/>
      </c>
      <c r="U23" s="67" t="str">
        <f>IF(AND('Mapa final'!$Y$43="Alta",'Mapa final'!$AA$43="Menor"),CONCATENATE("R8C",'Mapa final'!$O$43),"")</f>
        <v/>
      </c>
      <c r="V23" s="50" t="str">
        <f>IF(AND('Mapa final'!$Y$38="Alta",'Mapa final'!$AA$38="Moderado"),CONCATENATE("R8C",'Mapa final'!$O$38),"")</f>
        <v/>
      </c>
      <c r="W23" s="51" t="str">
        <f>IF(AND('Mapa final'!$Y$39="Alta",'Mapa final'!$AA$39="Moderado"),CONCATENATE("R8C",'Mapa final'!$O$39),"")</f>
        <v/>
      </c>
      <c r="X23" s="51" t="str">
        <f>IF(AND('Mapa final'!$Y$40="Alta",'Mapa final'!$AA$40="Moderado"),CONCATENATE("R8C",'Mapa final'!$O$40),"")</f>
        <v/>
      </c>
      <c r="Y23" s="51" t="str">
        <f>IF(AND('Mapa final'!$Y$41="Alta",'Mapa final'!$AA$41="Moderado"),CONCATENATE("R8C",'Mapa final'!$O$41),"")</f>
        <v/>
      </c>
      <c r="Z23" s="51" t="str">
        <f>IF(AND('Mapa final'!$Y$42="Alta",'Mapa final'!$AA$42="Moderado"),CONCATENATE("R8C",'Mapa final'!$O$42),"")</f>
        <v/>
      </c>
      <c r="AA23" s="52" t="str">
        <f>IF(AND('Mapa final'!$Y$43="Alta",'Mapa final'!$AA$43="Moderado"),CONCATENATE("R8C",'Mapa final'!$O$43),"")</f>
        <v/>
      </c>
      <c r="AB23" s="50" t="str">
        <f>IF(AND('Mapa final'!$Y$38="Alta",'Mapa final'!$AA$38="Mayor"),CONCATENATE("R8C",'Mapa final'!$O$38),"")</f>
        <v/>
      </c>
      <c r="AC23" s="51" t="str">
        <f>IF(AND('Mapa final'!$Y$39="Alta",'Mapa final'!$AA$39="Mayor"),CONCATENATE("R8C",'Mapa final'!$O$39),"")</f>
        <v/>
      </c>
      <c r="AD23" s="51" t="str">
        <f>IF(AND('Mapa final'!$Y$40="Alta",'Mapa final'!$AA$40="Mayor"),CONCATENATE("R8C",'Mapa final'!$O$40),"")</f>
        <v/>
      </c>
      <c r="AE23" s="51" t="str">
        <f>IF(AND('Mapa final'!$Y$41="Alta",'Mapa final'!$AA$41="Mayor"),CONCATENATE("R8C",'Mapa final'!$O$41),"")</f>
        <v/>
      </c>
      <c r="AF23" s="51" t="str">
        <f>IF(AND('Mapa final'!$Y$42="Alta",'Mapa final'!$AA$42="Mayor"),CONCATENATE("R8C",'Mapa final'!$O$42),"")</f>
        <v/>
      </c>
      <c r="AG23" s="52" t="str">
        <f>IF(AND('Mapa final'!$Y$43="Alta",'Mapa final'!$AA$43="Mayor"),CONCATENATE("R8C",'Mapa final'!$O$43),"")</f>
        <v/>
      </c>
      <c r="AH23" s="53" t="str">
        <f>IF(AND('Mapa final'!$Y$38="Alta",'Mapa final'!$AA$38="Catastrófico"),CONCATENATE("R8C",'Mapa final'!$O$38),"")</f>
        <v/>
      </c>
      <c r="AI23" s="54" t="str">
        <f>IF(AND('Mapa final'!$Y$39="Alta",'Mapa final'!$AA$39="Catastrófico"),CONCATENATE("R8C",'Mapa final'!$O$39),"")</f>
        <v/>
      </c>
      <c r="AJ23" s="54" t="str">
        <f>IF(AND('Mapa final'!$Y$40="Alta",'Mapa final'!$AA$40="Catastrófico"),CONCATENATE("R8C",'Mapa final'!$O$40),"")</f>
        <v/>
      </c>
      <c r="AK23" s="54" t="str">
        <f>IF(AND('Mapa final'!$Y$41="Alta",'Mapa final'!$AA$41="Catastrófico"),CONCATENATE("R8C",'Mapa final'!$O$41),"")</f>
        <v/>
      </c>
      <c r="AL23" s="54" t="str">
        <f>IF(AND('Mapa final'!$Y$42="Alta",'Mapa final'!$AA$42="Catastrófico"),CONCATENATE("R8C",'Mapa final'!$O$42),"")</f>
        <v/>
      </c>
      <c r="AM23" s="55" t="str">
        <f>IF(AND('Mapa final'!$Y$43="Alta",'Mapa final'!$AA$43="Catastrófico"),CONCATENATE("R8C",'Mapa final'!$O$43),"")</f>
        <v/>
      </c>
      <c r="AN23" s="81"/>
      <c r="AO23" s="443"/>
      <c r="AP23" s="444"/>
      <c r="AQ23" s="444"/>
      <c r="AR23" s="444"/>
      <c r="AS23" s="444"/>
      <c r="AT23" s="445"/>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354"/>
      <c r="C24" s="354"/>
      <c r="D24" s="355"/>
      <c r="E24" s="453"/>
      <c r="F24" s="452"/>
      <c r="G24" s="452"/>
      <c r="H24" s="452"/>
      <c r="I24" s="452"/>
      <c r="J24" s="65" t="str">
        <f>IF(AND('Mapa final'!$Y$44="Alta",'Mapa final'!$AA$44="Leve"),CONCATENATE("R9C",'Mapa final'!$O$44),"")</f>
        <v/>
      </c>
      <c r="K24" s="66" t="str">
        <f>IF(AND('Mapa final'!$Y$45="Alta",'Mapa final'!$AA$45="Leve"),CONCATENATE("R9C",'Mapa final'!$O$45),"")</f>
        <v/>
      </c>
      <c r="L24" s="66" t="str">
        <f>IF(AND('Mapa final'!$Y$46="Alta",'Mapa final'!$AA$46="Leve"),CONCATENATE("R9C",'Mapa final'!$O$46),"")</f>
        <v/>
      </c>
      <c r="M24" s="66" t="str">
        <f>IF(AND('Mapa final'!$Y$47="Alta",'Mapa final'!$AA$47="Leve"),CONCATENATE("R9C",'Mapa final'!$O$47),"")</f>
        <v/>
      </c>
      <c r="N24" s="66" t="str">
        <f>IF(AND('Mapa final'!$Y$48="Alta",'Mapa final'!$AA$48="Leve"),CONCATENATE("R9C",'Mapa final'!$O$48),"")</f>
        <v/>
      </c>
      <c r="O24" s="67" t="str">
        <f>IF(AND('Mapa final'!$Y$49="Alta",'Mapa final'!$AA$49="Leve"),CONCATENATE("R9C",'Mapa final'!$O$49),"")</f>
        <v/>
      </c>
      <c r="P24" s="65" t="str">
        <f>IF(AND('Mapa final'!$Y$44="Alta",'Mapa final'!$AA$44="Menor"),CONCATENATE("R9C",'Mapa final'!$O$44),"")</f>
        <v/>
      </c>
      <c r="Q24" s="66" t="str">
        <f>IF(AND('Mapa final'!$Y$45="Alta",'Mapa final'!$AA$45="Menor"),CONCATENATE("R9C",'Mapa final'!$O$45),"")</f>
        <v/>
      </c>
      <c r="R24" s="66" t="str">
        <f>IF(AND('Mapa final'!$Y$46="Alta",'Mapa final'!$AA$46="Menor"),CONCATENATE("R9C",'Mapa final'!$O$46),"")</f>
        <v/>
      </c>
      <c r="S24" s="66" t="str">
        <f>IF(AND('Mapa final'!$Y$47="Alta",'Mapa final'!$AA$47="Menor"),CONCATENATE("R9C",'Mapa final'!$O$47),"")</f>
        <v/>
      </c>
      <c r="T24" s="66" t="str">
        <f>IF(AND('Mapa final'!$Y$48="Alta",'Mapa final'!$AA$48="Menor"),CONCATENATE("R9C",'Mapa final'!$O$48),"")</f>
        <v/>
      </c>
      <c r="U24" s="67" t="str">
        <f>IF(AND('Mapa final'!$Y$49="Alta",'Mapa final'!$AA$49="Menor"),CONCATENATE("R9C",'Mapa final'!$O$49),"")</f>
        <v/>
      </c>
      <c r="V24" s="50" t="str">
        <f>IF(AND('Mapa final'!$Y$44="Alta",'Mapa final'!$AA$44="Moderado"),CONCATENATE("R9C",'Mapa final'!$O$44),"")</f>
        <v/>
      </c>
      <c r="W24" s="51" t="str">
        <f>IF(AND('Mapa final'!$Y$45="Alta",'Mapa final'!$AA$45="Moderado"),CONCATENATE("R9C",'Mapa final'!$O$45),"")</f>
        <v/>
      </c>
      <c r="X24" s="51" t="str">
        <f>IF(AND('Mapa final'!$Y$46="Alta",'Mapa final'!$AA$46="Moderado"),CONCATENATE("R9C",'Mapa final'!$O$46),"")</f>
        <v/>
      </c>
      <c r="Y24" s="51" t="str">
        <f>IF(AND('Mapa final'!$Y$47="Alta",'Mapa final'!$AA$47="Moderado"),CONCATENATE("R9C",'Mapa final'!$O$47),"")</f>
        <v/>
      </c>
      <c r="Z24" s="51" t="str">
        <f>IF(AND('Mapa final'!$Y$48="Alta",'Mapa final'!$AA$48="Moderado"),CONCATENATE("R9C",'Mapa final'!$O$48),"")</f>
        <v/>
      </c>
      <c r="AA24" s="52" t="str">
        <f>IF(AND('Mapa final'!$Y$49="Alta",'Mapa final'!$AA$49="Moderado"),CONCATENATE("R9C",'Mapa final'!$O$49),"")</f>
        <v/>
      </c>
      <c r="AB24" s="50" t="str">
        <f>IF(AND('Mapa final'!$Y$44="Alta",'Mapa final'!$AA$44="Mayor"),CONCATENATE("R9C",'Mapa final'!$O$44),"")</f>
        <v/>
      </c>
      <c r="AC24" s="51" t="str">
        <f>IF(AND('Mapa final'!$Y$45="Alta",'Mapa final'!$AA$45="Mayor"),CONCATENATE("R9C",'Mapa final'!$O$45),"")</f>
        <v/>
      </c>
      <c r="AD24" s="51" t="str">
        <f>IF(AND('Mapa final'!$Y$46="Alta",'Mapa final'!$AA$46="Mayor"),CONCATENATE("R9C",'Mapa final'!$O$46),"")</f>
        <v/>
      </c>
      <c r="AE24" s="51" t="str">
        <f>IF(AND('Mapa final'!$Y$47="Alta",'Mapa final'!$AA$47="Mayor"),CONCATENATE("R9C",'Mapa final'!$O$47),"")</f>
        <v/>
      </c>
      <c r="AF24" s="51" t="str">
        <f>IF(AND('Mapa final'!$Y$48="Alta",'Mapa final'!$AA$48="Mayor"),CONCATENATE("R9C",'Mapa final'!$O$48),"")</f>
        <v/>
      </c>
      <c r="AG24" s="52" t="str">
        <f>IF(AND('Mapa final'!$Y$49="Alta",'Mapa final'!$AA$49="Mayor"),CONCATENATE("R9C",'Mapa final'!$O$49),"")</f>
        <v/>
      </c>
      <c r="AH24" s="53" t="str">
        <f>IF(AND('Mapa final'!$Y$44="Alta",'Mapa final'!$AA$44="Catastrófico"),CONCATENATE("R9C",'Mapa final'!$O$44),"")</f>
        <v/>
      </c>
      <c r="AI24" s="54" t="str">
        <f>IF(AND('Mapa final'!$Y$45="Alta",'Mapa final'!$AA$45="Catastrófico"),CONCATENATE("R9C",'Mapa final'!$O$45),"")</f>
        <v/>
      </c>
      <c r="AJ24" s="54" t="str">
        <f>IF(AND('Mapa final'!$Y$46="Alta",'Mapa final'!$AA$46="Catastrófico"),CONCATENATE("R9C",'Mapa final'!$O$46),"")</f>
        <v/>
      </c>
      <c r="AK24" s="54" t="str">
        <f>IF(AND('Mapa final'!$Y$47="Alta",'Mapa final'!$AA$47="Catastrófico"),CONCATENATE("R9C",'Mapa final'!$O$47),"")</f>
        <v/>
      </c>
      <c r="AL24" s="54" t="str">
        <f>IF(AND('Mapa final'!$Y$48="Alta",'Mapa final'!$AA$48="Catastrófico"),CONCATENATE("R9C",'Mapa final'!$O$48),"")</f>
        <v/>
      </c>
      <c r="AM24" s="55" t="str">
        <f>IF(AND('Mapa final'!$Y$49="Alta",'Mapa final'!$AA$49="Catastrófico"),CONCATENATE("R9C",'Mapa final'!$O$49),"")</f>
        <v/>
      </c>
      <c r="AN24" s="81"/>
      <c r="AO24" s="443"/>
      <c r="AP24" s="444"/>
      <c r="AQ24" s="444"/>
      <c r="AR24" s="444"/>
      <c r="AS24" s="444"/>
      <c r="AT24" s="445"/>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354"/>
      <c r="C25" s="354"/>
      <c r="D25" s="355"/>
      <c r="E25" s="454"/>
      <c r="F25" s="455"/>
      <c r="G25" s="455"/>
      <c r="H25" s="455"/>
      <c r="I25" s="455"/>
      <c r="J25" s="68" t="str">
        <f>IF(AND('Mapa final'!$Y$50="Alta",'Mapa final'!$AA$50="Leve"),CONCATENATE("R10C",'Mapa final'!$O$50),"")</f>
        <v/>
      </c>
      <c r="K25" s="69" t="str">
        <f>IF(AND('Mapa final'!$Y$51="Alta",'Mapa final'!$AA$51="Leve"),CONCATENATE("R10C",'Mapa final'!$O$51),"")</f>
        <v/>
      </c>
      <c r="L25" s="69" t="str">
        <f>IF(AND('Mapa final'!$Y$52="Alta",'Mapa final'!$AA$52="Leve"),CONCATENATE("R10C",'Mapa final'!$O$52),"")</f>
        <v/>
      </c>
      <c r="M25" s="69" t="str">
        <f>IF(AND('Mapa final'!$Y$53="Alta",'Mapa final'!$AA$53="Leve"),CONCATENATE("R10C",'Mapa final'!$O$53),"")</f>
        <v/>
      </c>
      <c r="N25" s="69" t="str">
        <f>IF(AND('Mapa final'!$Y$54="Alta",'Mapa final'!$AA$54="Leve"),CONCATENATE("R10C",'Mapa final'!$O$54),"")</f>
        <v/>
      </c>
      <c r="O25" s="70" t="e">
        <f>IF(AND('Mapa final'!#REF!="Alta",'Mapa final'!#REF!="Leve"),CONCATENATE("R10C",'Mapa final'!#REF!),"")</f>
        <v>#REF!</v>
      </c>
      <c r="P25" s="68" t="str">
        <f>IF(AND('Mapa final'!$Y$50="Alta",'Mapa final'!$AA$50="Menor"),CONCATENATE("R10C",'Mapa final'!$O$50),"")</f>
        <v/>
      </c>
      <c r="Q25" s="69" t="str">
        <f>IF(AND('Mapa final'!$Y$51="Alta",'Mapa final'!$AA$51="Menor"),CONCATENATE("R10C",'Mapa final'!$O$51),"")</f>
        <v/>
      </c>
      <c r="R25" s="69" t="str">
        <f>IF(AND('Mapa final'!$Y$52="Alta",'Mapa final'!$AA$52="Menor"),CONCATENATE("R10C",'Mapa final'!$O$52),"")</f>
        <v/>
      </c>
      <c r="S25" s="69" t="str">
        <f>IF(AND('Mapa final'!$Y$53="Alta",'Mapa final'!$AA$53="Menor"),CONCATENATE("R10C",'Mapa final'!$O$53),"")</f>
        <v/>
      </c>
      <c r="T25" s="69" t="str">
        <f>IF(AND('Mapa final'!$Y$54="Alta",'Mapa final'!$AA$54="Menor"),CONCATENATE("R10C",'Mapa final'!$O$54),"")</f>
        <v/>
      </c>
      <c r="U25" s="70" t="e">
        <f>IF(AND('Mapa final'!#REF!="Alta",'Mapa final'!#REF!="Menor"),CONCATENATE("R10C",'Mapa final'!#REF!),"")</f>
        <v>#REF!</v>
      </c>
      <c r="V25" s="56" t="str">
        <f>IF(AND('Mapa final'!$Y$50="Alta",'Mapa final'!$AA$50="Moderado"),CONCATENATE("R10C",'Mapa final'!$O$50),"")</f>
        <v/>
      </c>
      <c r="W25" s="57" t="str">
        <f>IF(AND('Mapa final'!$Y$51="Alta",'Mapa final'!$AA$51="Moderado"),CONCATENATE("R10C",'Mapa final'!$O$51),"")</f>
        <v/>
      </c>
      <c r="X25" s="57" t="str">
        <f>IF(AND('Mapa final'!$Y$52="Alta",'Mapa final'!$AA$52="Moderado"),CONCATENATE("R10C",'Mapa final'!$O$52),"")</f>
        <v/>
      </c>
      <c r="Y25" s="57" t="str">
        <f>IF(AND('Mapa final'!$Y$53="Alta",'Mapa final'!$AA$53="Moderado"),CONCATENATE("R10C",'Mapa final'!$O$53),"")</f>
        <v/>
      </c>
      <c r="Z25" s="57" t="str">
        <f>IF(AND('Mapa final'!$Y$54="Alta",'Mapa final'!$AA$54="Moderado"),CONCATENATE("R10C",'Mapa final'!$O$54),"")</f>
        <v/>
      </c>
      <c r="AA25" s="58" t="e">
        <f>IF(AND('Mapa final'!#REF!="Alta",'Mapa final'!#REF!="Moderado"),CONCATENATE("R10C",'Mapa final'!#REF!),"")</f>
        <v>#REF!</v>
      </c>
      <c r="AB25" s="56" t="str">
        <f>IF(AND('Mapa final'!$Y$50="Alta",'Mapa final'!$AA$50="Mayor"),CONCATENATE("R10C",'Mapa final'!$O$50),"")</f>
        <v/>
      </c>
      <c r="AC25" s="57" t="str">
        <f>IF(AND('Mapa final'!$Y$51="Alta",'Mapa final'!$AA$51="Mayor"),CONCATENATE("R10C",'Mapa final'!$O$51),"")</f>
        <v/>
      </c>
      <c r="AD25" s="57" t="str">
        <f>IF(AND('Mapa final'!$Y$52="Alta",'Mapa final'!$AA$52="Mayor"),CONCATENATE("R10C",'Mapa final'!$O$52),"")</f>
        <v/>
      </c>
      <c r="AE25" s="57" t="str">
        <f>IF(AND('Mapa final'!$Y$53="Alta",'Mapa final'!$AA$53="Mayor"),CONCATENATE("R10C",'Mapa final'!$O$53),"")</f>
        <v/>
      </c>
      <c r="AF25" s="57" t="str">
        <f>IF(AND('Mapa final'!$Y$54="Alta",'Mapa final'!$AA$54="Mayor"),CONCATENATE("R10C",'Mapa final'!$O$54),"")</f>
        <v/>
      </c>
      <c r="AG25" s="58" t="e">
        <f>IF(AND('Mapa final'!#REF!="Alta",'Mapa final'!#REF!="Mayor"),CONCATENATE("R10C",'Mapa final'!#REF!),"")</f>
        <v>#REF!</v>
      </c>
      <c r="AH25" s="59" t="str">
        <f>IF(AND('Mapa final'!$Y$50="Alta",'Mapa final'!$AA$50="Catastrófico"),CONCATENATE("R10C",'Mapa final'!$O$50),"")</f>
        <v/>
      </c>
      <c r="AI25" s="60" t="str">
        <f>IF(AND('Mapa final'!$Y$51="Alta",'Mapa final'!$AA$51="Catastrófico"),CONCATENATE("R10C",'Mapa final'!$O$51),"")</f>
        <v/>
      </c>
      <c r="AJ25" s="60" t="str">
        <f>IF(AND('Mapa final'!$Y$52="Alta",'Mapa final'!$AA$52="Catastrófico"),CONCATENATE("R10C",'Mapa final'!$O$52),"")</f>
        <v/>
      </c>
      <c r="AK25" s="60" t="str">
        <f>IF(AND('Mapa final'!$Y$53="Alta",'Mapa final'!$AA$53="Catastrófico"),CONCATENATE("R10C",'Mapa final'!$O$53),"")</f>
        <v/>
      </c>
      <c r="AL25" s="60" t="str">
        <f>IF(AND('Mapa final'!$Y$54="Alta",'Mapa final'!$AA$54="Catastrófico"),CONCATENATE("R10C",'Mapa final'!$O$54),"")</f>
        <v/>
      </c>
      <c r="AM25" s="61" t="e">
        <f>IF(AND('Mapa final'!#REF!="Alta",'Mapa final'!#REF!="Catastrófico"),CONCATENATE("R10C",'Mapa final'!#REF!),"")</f>
        <v>#REF!</v>
      </c>
      <c r="AN25" s="81"/>
      <c r="AO25" s="446"/>
      <c r="AP25" s="447"/>
      <c r="AQ25" s="447"/>
      <c r="AR25" s="447"/>
      <c r="AS25" s="447"/>
      <c r="AT25" s="448"/>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354"/>
      <c r="C26" s="354"/>
      <c r="D26" s="355"/>
      <c r="E26" s="449" t="s">
        <v>188</v>
      </c>
      <c r="F26" s="450"/>
      <c r="G26" s="450"/>
      <c r="H26" s="450"/>
      <c r="I26" s="467"/>
      <c r="J26" s="62" t="str">
        <f>IF(AND('Mapa final'!$Y$32="Media",'Mapa final'!$AA$32="Leve"),CONCATENATE("R1C",'Mapa final'!$O$32),"")</f>
        <v/>
      </c>
      <c r="K26" s="63" t="str">
        <f>IF(AND('Mapa final'!$Y$33="Media",'Mapa final'!$AA$33="Leve"),CONCATENATE("R1C",'Mapa final'!$O$33),"")</f>
        <v/>
      </c>
      <c r="L26" s="63" t="e">
        <f>IF(AND('Mapa final'!#REF!="Media",'Mapa final'!#REF!="Leve"),CONCATENATE("R1C",'Mapa final'!#REF!),"")</f>
        <v>#REF!</v>
      </c>
      <c r="M26" s="63" t="e">
        <f>IF(AND('Mapa final'!#REF!="Media",'Mapa final'!#REF!="Leve"),CONCATENATE("R1C",'Mapa final'!#REF!),"")</f>
        <v>#REF!</v>
      </c>
      <c r="N26" s="63" t="e">
        <f>IF(AND('Mapa final'!#REF!="Media",'Mapa final'!#REF!="Leve"),CONCATENATE("R1C",'Mapa final'!#REF!),"")</f>
        <v>#REF!</v>
      </c>
      <c r="O26" s="64" t="e">
        <f>IF(AND('Mapa final'!#REF!="Media",'Mapa final'!#REF!="Leve"),CONCATENATE("R1C",'Mapa final'!#REF!),"")</f>
        <v>#REF!</v>
      </c>
      <c r="P26" s="62" t="str">
        <f>IF(AND('Mapa final'!$Y$32="Media",'Mapa final'!$AA$32="Menor"),CONCATENATE("R1C",'Mapa final'!$O$32),"")</f>
        <v/>
      </c>
      <c r="Q26" s="63" t="str">
        <f>IF(AND('Mapa final'!$Y$33="Media",'Mapa final'!$AA$33="Menor"),CONCATENATE("R1C",'Mapa final'!$O$33),"")</f>
        <v/>
      </c>
      <c r="R26" s="63" t="e">
        <f>IF(AND('Mapa final'!#REF!="Media",'Mapa final'!#REF!="Menor"),CONCATENATE("R1C",'Mapa final'!#REF!),"")</f>
        <v>#REF!</v>
      </c>
      <c r="S26" s="63" t="e">
        <f>IF(AND('Mapa final'!#REF!="Media",'Mapa final'!#REF!="Menor"),CONCATENATE("R1C",'Mapa final'!#REF!),"")</f>
        <v>#REF!</v>
      </c>
      <c r="T26" s="63" t="e">
        <f>IF(AND('Mapa final'!#REF!="Media",'Mapa final'!#REF!="Menor"),CONCATENATE("R1C",'Mapa final'!#REF!),"")</f>
        <v>#REF!</v>
      </c>
      <c r="U26" s="64" t="e">
        <f>IF(AND('Mapa final'!#REF!="Media",'Mapa final'!#REF!="Menor"),CONCATENATE("R1C",'Mapa final'!#REF!),"")</f>
        <v>#REF!</v>
      </c>
      <c r="V26" s="62" t="str">
        <f>IF(AND('Mapa final'!$Y$32="Media",'Mapa final'!$AA$32="Moderado"),CONCATENATE("R1C",'Mapa final'!$O$32),"")</f>
        <v/>
      </c>
      <c r="W26" s="63" t="str">
        <f>IF(AND('Mapa final'!$Y$33="Media",'Mapa final'!$AA$33="Moderado"),CONCATENATE("R1C",'Mapa final'!$O$33),"")</f>
        <v/>
      </c>
      <c r="X26" s="63" t="e">
        <f>IF(AND('Mapa final'!#REF!="Media",'Mapa final'!#REF!="Moderado"),CONCATENATE("R1C",'Mapa final'!#REF!),"")</f>
        <v>#REF!</v>
      </c>
      <c r="Y26" s="63" t="e">
        <f>IF(AND('Mapa final'!#REF!="Media",'Mapa final'!#REF!="Moderado"),CONCATENATE("R1C",'Mapa final'!#REF!),"")</f>
        <v>#REF!</v>
      </c>
      <c r="Z26" s="63" t="e">
        <f>IF(AND('Mapa final'!#REF!="Media",'Mapa final'!#REF!="Moderado"),CONCATENATE("R1C",'Mapa final'!#REF!),"")</f>
        <v>#REF!</v>
      </c>
      <c r="AA26" s="64" t="e">
        <f>IF(AND('Mapa final'!#REF!="Media",'Mapa final'!#REF!="Moderado"),CONCATENATE("R1C",'Mapa final'!#REF!),"")</f>
        <v>#REF!</v>
      </c>
      <c r="AB26" s="44" t="str">
        <f>IF(AND('Mapa final'!$Y$32="Media",'Mapa final'!$AA$32="Mayor"),CONCATENATE("R1C",'Mapa final'!$O$32),"")</f>
        <v/>
      </c>
      <c r="AC26" s="45" t="str">
        <f>IF(AND('Mapa final'!$Y$33="Media",'Mapa final'!$AA$33="Mayor"),CONCATENATE("R1C",'Mapa final'!$O$33),"")</f>
        <v/>
      </c>
      <c r="AD26" s="45" t="e">
        <f>IF(AND('Mapa final'!#REF!="Media",'Mapa final'!#REF!="Mayor"),CONCATENATE("R1C",'Mapa final'!#REF!),"")</f>
        <v>#REF!</v>
      </c>
      <c r="AE26" s="45" t="e">
        <f>IF(AND('Mapa final'!#REF!="Media",'Mapa final'!#REF!="Mayor"),CONCATENATE("R1C",'Mapa final'!#REF!),"")</f>
        <v>#REF!</v>
      </c>
      <c r="AF26" s="45" t="e">
        <f>IF(AND('Mapa final'!#REF!="Media",'Mapa final'!#REF!="Mayor"),CONCATENATE("R1C",'Mapa final'!#REF!),"")</f>
        <v>#REF!</v>
      </c>
      <c r="AG26" s="46" t="e">
        <f>IF(AND('Mapa final'!#REF!="Media",'Mapa final'!#REF!="Mayor"),CONCATENATE("R1C",'Mapa final'!#REF!),"")</f>
        <v>#REF!</v>
      </c>
      <c r="AH26" s="47" t="str">
        <f>IF(AND('Mapa final'!$Y$32="Media",'Mapa final'!$AA$32="Catastrófico"),CONCATENATE("R1C",'Mapa final'!$O$32),"")</f>
        <v/>
      </c>
      <c r="AI26" s="48" t="str">
        <f>IF(AND('Mapa final'!$Y$33="Media",'Mapa final'!$AA$33="Catastrófico"),CONCATENATE("R1C",'Mapa final'!$O$33),"")</f>
        <v/>
      </c>
      <c r="AJ26" s="48" t="e">
        <f>IF(AND('Mapa final'!#REF!="Media",'Mapa final'!#REF!="Catastrófico"),CONCATENATE("R1C",'Mapa final'!#REF!),"")</f>
        <v>#REF!</v>
      </c>
      <c r="AK26" s="48" t="e">
        <f>IF(AND('Mapa final'!#REF!="Media",'Mapa final'!#REF!="Catastrófico"),CONCATENATE("R1C",'Mapa final'!#REF!),"")</f>
        <v>#REF!</v>
      </c>
      <c r="AL26" s="48" t="e">
        <f>IF(AND('Mapa final'!#REF!="Media",'Mapa final'!#REF!="Catastrófico"),CONCATENATE("R1C",'Mapa final'!#REF!),"")</f>
        <v>#REF!</v>
      </c>
      <c r="AM26" s="49" t="e">
        <f>IF(AND('Mapa final'!#REF!="Media",'Mapa final'!#REF!="Catastrófico"),CONCATENATE("R1C",'Mapa final'!#REF!),"")</f>
        <v>#REF!</v>
      </c>
      <c r="AN26" s="81"/>
      <c r="AO26" s="479" t="s">
        <v>189</v>
      </c>
      <c r="AP26" s="480"/>
      <c r="AQ26" s="480"/>
      <c r="AR26" s="480"/>
      <c r="AS26" s="480"/>
      <c r="AT26" s="4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354"/>
      <c r="C27" s="354"/>
      <c r="D27" s="355"/>
      <c r="E27" s="451"/>
      <c r="F27" s="452"/>
      <c r="G27" s="452"/>
      <c r="H27" s="452"/>
      <c r="I27" s="468"/>
      <c r="J27" s="65" t="str">
        <f>IF(AND('Mapa final'!$Y$34="Media",'Mapa final'!$AA$34="Leve"),CONCATENATE("R2C",'Mapa final'!$O$34),"")</f>
        <v/>
      </c>
      <c r="K27" s="66" t="e">
        <f>IF(AND('Mapa final'!#REF!="Media",'Mapa final'!#REF!="Leve"),CONCATENATE("R2C",'Mapa final'!#REF!),"")</f>
        <v>#REF!</v>
      </c>
      <c r="L27" s="66" t="e">
        <f>IF(AND('Mapa final'!#REF!="Media",'Mapa final'!#REF!="Leve"),CONCATENATE("R2C",'Mapa final'!#REF!),"")</f>
        <v>#REF!</v>
      </c>
      <c r="M27" s="66" t="e">
        <f>IF(AND('Mapa final'!#REF!="Media",'Mapa final'!#REF!="Leve"),CONCATENATE("R2C",'Mapa final'!#REF!),"")</f>
        <v>#REF!</v>
      </c>
      <c r="N27" s="66" t="e">
        <f>IF(AND('Mapa final'!#REF!="Media",'Mapa final'!#REF!="Leve"),CONCATENATE("R2C",'Mapa final'!#REF!),"")</f>
        <v>#REF!</v>
      </c>
      <c r="O27" s="67" t="e">
        <f>IF(AND('Mapa final'!#REF!="Media",'Mapa final'!#REF!="Leve"),CONCATENATE("R2C",'Mapa final'!#REF!),"")</f>
        <v>#REF!</v>
      </c>
      <c r="P27" s="65" t="str">
        <f>IF(AND('Mapa final'!$Y$34="Media",'Mapa final'!$AA$34="Menor"),CONCATENATE("R2C",'Mapa final'!$O$34),"")</f>
        <v/>
      </c>
      <c r="Q27" s="66" t="e">
        <f>IF(AND('Mapa final'!#REF!="Media",'Mapa final'!#REF!="Menor"),CONCATENATE("R2C",'Mapa final'!#REF!),"")</f>
        <v>#REF!</v>
      </c>
      <c r="R27" s="66" t="e">
        <f>IF(AND('Mapa final'!#REF!="Media",'Mapa final'!#REF!="Menor"),CONCATENATE("R2C",'Mapa final'!#REF!),"")</f>
        <v>#REF!</v>
      </c>
      <c r="S27" s="66" t="e">
        <f>IF(AND('Mapa final'!#REF!="Media",'Mapa final'!#REF!="Menor"),CONCATENATE("R2C",'Mapa final'!#REF!),"")</f>
        <v>#REF!</v>
      </c>
      <c r="T27" s="66" t="e">
        <f>IF(AND('Mapa final'!#REF!="Media",'Mapa final'!#REF!="Menor"),CONCATENATE("R2C",'Mapa final'!#REF!),"")</f>
        <v>#REF!</v>
      </c>
      <c r="U27" s="67" t="e">
        <f>IF(AND('Mapa final'!#REF!="Media",'Mapa final'!#REF!="Menor"),CONCATENATE("R2C",'Mapa final'!#REF!),"")</f>
        <v>#REF!</v>
      </c>
      <c r="V27" s="65" t="str">
        <f>IF(AND('Mapa final'!$Y$34="Media",'Mapa final'!$AA$34="Moderado"),CONCATENATE("R2C",'Mapa final'!$O$34),"")</f>
        <v/>
      </c>
      <c r="W27" s="66" t="e">
        <f>IF(AND('Mapa final'!#REF!="Media",'Mapa final'!#REF!="Moderado"),CONCATENATE("R2C",'Mapa final'!#REF!),"")</f>
        <v>#REF!</v>
      </c>
      <c r="X27" s="66" t="e">
        <f>IF(AND('Mapa final'!#REF!="Media",'Mapa final'!#REF!="Moderado"),CONCATENATE("R2C",'Mapa final'!#REF!),"")</f>
        <v>#REF!</v>
      </c>
      <c r="Y27" s="66" t="e">
        <f>IF(AND('Mapa final'!#REF!="Media",'Mapa final'!#REF!="Moderado"),CONCATENATE("R2C",'Mapa final'!#REF!),"")</f>
        <v>#REF!</v>
      </c>
      <c r="Z27" s="66" t="e">
        <f>IF(AND('Mapa final'!#REF!="Media",'Mapa final'!#REF!="Moderado"),CONCATENATE("R2C",'Mapa final'!#REF!),"")</f>
        <v>#REF!</v>
      </c>
      <c r="AA27" s="67" t="e">
        <f>IF(AND('Mapa final'!#REF!="Media",'Mapa final'!#REF!="Moderado"),CONCATENATE("R2C",'Mapa final'!#REF!),"")</f>
        <v>#REF!</v>
      </c>
      <c r="AB27" s="50" t="str">
        <f>IF(AND('Mapa final'!$Y$34="Media",'Mapa final'!$AA$34="Mayor"),CONCATENATE("R2C",'Mapa final'!$O$34),"")</f>
        <v/>
      </c>
      <c r="AC27" s="51" t="e">
        <f>IF(AND('Mapa final'!#REF!="Media",'Mapa final'!#REF!="Mayor"),CONCATENATE("R2C",'Mapa final'!#REF!),"")</f>
        <v>#REF!</v>
      </c>
      <c r="AD27" s="51" t="e">
        <f>IF(AND('Mapa final'!#REF!="Media",'Mapa final'!#REF!="Mayor"),CONCATENATE("R2C",'Mapa final'!#REF!),"")</f>
        <v>#REF!</v>
      </c>
      <c r="AE27" s="51" t="e">
        <f>IF(AND('Mapa final'!#REF!="Media",'Mapa final'!#REF!="Mayor"),CONCATENATE("R2C",'Mapa final'!#REF!),"")</f>
        <v>#REF!</v>
      </c>
      <c r="AF27" s="51" t="e">
        <f>IF(AND('Mapa final'!#REF!="Media",'Mapa final'!#REF!="Mayor"),CONCATENATE("R2C",'Mapa final'!#REF!),"")</f>
        <v>#REF!</v>
      </c>
      <c r="AG27" s="52" t="e">
        <f>IF(AND('Mapa final'!#REF!="Media",'Mapa final'!#REF!="Mayor"),CONCATENATE("R2C",'Mapa final'!#REF!),"")</f>
        <v>#REF!</v>
      </c>
      <c r="AH27" s="53" t="str">
        <f>IF(AND('Mapa final'!$Y$34="Media",'Mapa final'!$AA$34="Catastrófico"),CONCATENATE("R2C",'Mapa final'!$O$34),"")</f>
        <v/>
      </c>
      <c r="AI27" s="54" t="e">
        <f>IF(AND('Mapa final'!#REF!="Media",'Mapa final'!#REF!="Catastrófico"),CONCATENATE("R2C",'Mapa final'!#REF!),"")</f>
        <v>#REF!</v>
      </c>
      <c r="AJ27" s="54" t="e">
        <f>IF(AND('Mapa final'!#REF!="Media",'Mapa final'!#REF!="Catastrófico"),CONCATENATE("R2C",'Mapa final'!#REF!),"")</f>
        <v>#REF!</v>
      </c>
      <c r="AK27" s="54" t="e">
        <f>IF(AND('Mapa final'!#REF!="Media",'Mapa final'!#REF!="Catastrófico"),CONCATENATE("R2C",'Mapa final'!#REF!),"")</f>
        <v>#REF!</v>
      </c>
      <c r="AL27" s="54" t="e">
        <f>IF(AND('Mapa final'!#REF!="Media",'Mapa final'!#REF!="Catastrófico"),CONCATENATE("R2C",'Mapa final'!#REF!),"")</f>
        <v>#REF!</v>
      </c>
      <c r="AM27" s="55" t="e">
        <f>IF(AND('Mapa final'!#REF!="Media",'Mapa final'!#REF!="Catastrófico"),CONCATENATE("R2C",'Mapa final'!#REF!),"")</f>
        <v>#REF!</v>
      </c>
      <c r="AN27" s="81"/>
      <c r="AO27" s="482"/>
      <c r="AP27" s="483"/>
      <c r="AQ27" s="483"/>
      <c r="AR27" s="483"/>
      <c r="AS27" s="483"/>
      <c r="AT27" s="484"/>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354"/>
      <c r="C28" s="354"/>
      <c r="D28" s="355"/>
      <c r="E28" s="453"/>
      <c r="F28" s="452"/>
      <c r="G28" s="452"/>
      <c r="H28" s="452"/>
      <c r="I28" s="468"/>
      <c r="J28" s="65" t="str">
        <f>IF(AND('Mapa final'!$Y$35="Media",'Mapa final'!$AA$35="Leve"),CONCATENATE("R3C",'Mapa final'!$O$35),"")</f>
        <v/>
      </c>
      <c r="K28" s="66" t="e">
        <f>IF(AND('Mapa final'!#REF!="Media",'Mapa final'!#REF!="Leve"),CONCATENATE("R3C",'Mapa final'!#REF!),"")</f>
        <v>#REF!</v>
      </c>
      <c r="L28" s="66" t="e">
        <f>IF(AND('Mapa final'!#REF!="Media",'Mapa final'!#REF!="Leve"),CONCATENATE("R3C",'Mapa final'!#REF!),"")</f>
        <v>#REF!</v>
      </c>
      <c r="M28" s="66" t="e">
        <f>IF(AND('Mapa final'!#REF!="Media",'Mapa final'!#REF!="Leve"),CONCATENATE("R3C",'Mapa final'!#REF!),"")</f>
        <v>#REF!</v>
      </c>
      <c r="N28" s="66" t="e">
        <f>IF(AND('Mapa final'!#REF!="Media",'Mapa final'!#REF!="Leve"),CONCATENATE("R3C",'Mapa final'!#REF!),"")</f>
        <v>#REF!</v>
      </c>
      <c r="O28" s="67" t="e">
        <f>IF(AND('Mapa final'!#REF!="Media",'Mapa final'!#REF!="Leve"),CONCATENATE("R3C",'Mapa final'!#REF!),"")</f>
        <v>#REF!</v>
      </c>
      <c r="P28" s="65" t="str">
        <f>IF(AND('Mapa final'!$Y$35="Media",'Mapa final'!$AA$35="Menor"),CONCATENATE("R3C",'Mapa final'!$O$35),"")</f>
        <v/>
      </c>
      <c r="Q28" s="66" t="e">
        <f>IF(AND('Mapa final'!#REF!="Media",'Mapa final'!#REF!="Menor"),CONCATENATE("R3C",'Mapa final'!#REF!),"")</f>
        <v>#REF!</v>
      </c>
      <c r="R28" s="66" t="e">
        <f>IF(AND('Mapa final'!#REF!="Media",'Mapa final'!#REF!="Menor"),CONCATENATE("R3C",'Mapa final'!#REF!),"")</f>
        <v>#REF!</v>
      </c>
      <c r="S28" s="66" t="e">
        <f>IF(AND('Mapa final'!#REF!="Media",'Mapa final'!#REF!="Menor"),CONCATENATE("R3C",'Mapa final'!#REF!),"")</f>
        <v>#REF!</v>
      </c>
      <c r="T28" s="66" t="e">
        <f>IF(AND('Mapa final'!#REF!="Media",'Mapa final'!#REF!="Menor"),CONCATENATE("R3C",'Mapa final'!#REF!),"")</f>
        <v>#REF!</v>
      </c>
      <c r="U28" s="67" t="e">
        <f>IF(AND('Mapa final'!#REF!="Media",'Mapa final'!#REF!="Menor"),CONCATENATE("R3C",'Mapa final'!#REF!),"")</f>
        <v>#REF!</v>
      </c>
      <c r="V28" s="65" t="str">
        <f>IF(AND('Mapa final'!$Y$35="Media",'Mapa final'!$AA$35="Moderado"),CONCATENATE("R3C",'Mapa final'!$O$35),"")</f>
        <v/>
      </c>
      <c r="W28" s="66" t="e">
        <f>IF(AND('Mapa final'!#REF!="Media",'Mapa final'!#REF!="Moderado"),CONCATENATE("R3C",'Mapa final'!#REF!),"")</f>
        <v>#REF!</v>
      </c>
      <c r="X28" s="66" t="e">
        <f>IF(AND('Mapa final'!#REF!="Media",'Mapa final'!#REF!="Moderado"),CONCATENATE("R3C",'Mapa final'!#REF!),"")</f>
        <v>#REF!</v>
      </c>
      <c r="Y28" s="66" t="e">
        <f>IF(AND('Mapa final'!#REF!="Media",'Mapa final'!#REF!="Moderado"),CONCATENATE("R3C",'Mapa final'!#REF!),"")</f>
        <v>#REF!</v>
      </c>
      <c r="Z28" s="66" t="e">
        <f>IF(AND('Mapa final'!#REF!="Media",'Mapa final'!#REF!="Moderado"),CONCATENATE("R3C",'Mapa final'!#REF!),"")</f>
        <v>#REF!</v>
      </c>
      <c r="AA28" s="67" t="e">
        <f>IF(AND('Mapa final'!#REF!="Media",'Mapa final'!#REF!="Moderado"),CONCATENATE("R3C",'Mapa final'!#REF!),"")</f>
        <v>#REF!</v>
      </c>
      <c r="AB28" s="50" t="str">
        <f>IF(AND('Mapa final'!$Y$35="Media",'Mapa final'!$AA$35="Mayor"),CONCATENATE("R3C",'Mapa final'!$O$35),"")</f>
        <v/>
      </c>
      <c r="AC28" s="51" t="e">
        <f>IF(AND('Mapa final'!#REF!="Media",'Mapa final'!#REF!="Mayor"),CONCATENATE("R3C",'Mapa final'!#REF!),"")</f>
        <v>#REF!</v>
      </c>
      <c r="AD28" s="51" t="e">
        <f>IF(AND('Mapa final'!#REF!="Media",'Mapa final'!#REF!="Mayor"),CONCATENATE("R3C",'Mapa final'!#REF!),"")</f>
        <v>#REF!</v>
      </c>
      <c r="AE28" s="51" t="e">
        <f>IF(AND('Mapa final'!#REF!="Media",'Mapa final'!#REF!="Mayor"),CONCATENATE("R3C",'Mapa final'!#REF!),"")</f>
        <v>#REF!</v>
      </c>
      <c r="AF28" s="51" t="e">
        <f>IF(AND('Mapa final'!#REF!="Media",'Mapa final'!#REF!="Mayor"),CONCATENATE("R3C",'Mapa final'!#REF!),"")</f>
        <v>#REF!</v>
      </c>
      <c r="AG28" s="52" t="e">
        <f>IF(AND('Mapa final'!#REF!="Media",'Mapa final'!#REF!="Mayor"),CONCATENATE("R3C",'Mapa final'!#REF!),"")</f>
        <v>#REF!</v>
      </c>
      <c r="AH28" s="53" t="str">
        <f>IF(AND('Mapa final'!$Y$35="Media",'Mapa final'!$AA$35="Catastrófico"),CONCATENATE("R3C",'Mapa final'!$O$35),"")</f>
        <v/>
      </c>
      <c r="AI28" s="54" t="e">
        <f>IF(AND('Mapa final'!#REF!="Media",'Mapa final'!#REF!="Catastrófico"),CONCATENATE("R3C",'Mapa final'!#REF!),"")</f>
        <v>#REF!</v>
      </c>
      <c r="AJ28" s="54" t="e">
        <f>IF(AND('Mapa final'!#REF!="Media",'Mapa final'!#REF!="Catastrófico"),CONCATENATE("R3C",'Mapa final'!#REF!),"")</f>
        <v>#REF!</v>
      </c>
      <c r="AK28" s="54" t="e">
        <f>IF(AND('Mapa final'!#REF!="Media",'Mapa final'!#REF!="Catastrófico"),CONCATENATE("R3C",'Mapa final'!#REF!),"")</f>
        <v>#REF!</v>
      </c>
      <c r="AL28" s="54" t="e">
        <f>IF(AND('Mapa final'!#REF!="Media",'Mapa final'!#REF!="Catastrófico"),CONCATENATE("R3C",'Mapa final'!#REF!),"")</f>
        <v>#REF!</v>
      </c>
      <c r="AM28" s="55" t="e">
        <f>IF(AND('Mapa final'!#REF!="Media",'Mapa final'!#REF!="Catastrófico"),CONCATENATE("R3C",'Mapa final'!#REF!),"")</f>
        <v>#REF!</v>
      </c>
      <c r="AN28" s="81"/>
      <c r="AO28" s="482"/>
      <c r="AP28" s="483"/>
      <c r="AQ28" s="483"/>
      <c r="AR28" s="483"/>
      <c r="AS28" s="483"/>
      <c r="AT28" s="484"/>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354"/>
      <c r="C29" s="354"/>
      <c r="D29" s="355"/>
      <c r="E29" s="453"/>
      <c r="F29" s="452"/>
      <c r="G29" s="452"/>
      <c r="H29" s="452"/>
      <c r="I29" s="468"/>
      <c r="J29" s="65" t="str">
        <f>IF(AND('Mapa final'!$Y$36="Media",'Mapa final'!$AA$36="Leve"),CONCATENATE("R4C",'Mapa final'!$O$36),"")</f>
        <v/>
      </c>
      <c r="K29" s="66" t="e">
        <f>IF(AND('Mapa final'!#REF!="Media",'Mapa final'!#REF!="Leve"),CONCATENATE("R4C",'Mapa final'!#REF!),"")</f>
        <v>#REF!</v>
      </c>
      <c r="L29" s="66" t="e">
        <f>IF(AND('Mapa final'!#REF!="Media",'Mapa final'!#REF!="Leve"),CONCATENATE("R4C",'Mapa final'!#REF!),"")</f>
        <v>#REF!</v>
      </c>
      <c r="M29" s="66" t="e">
        <f>IF(AND('Mapa final'!#REF!="Media",'Mapa final'!#REF!="Leve"),CONCATENATE("R4C",'Mapa final'!#REF!),"")</f>
        <v>#REF!</v>
      </c>
      <c r="N29" s="66" t="e">
        <f>IF(AND('Mapa final'!#REF!="Media",'Mapa final'!#REF!="Leve"),CONCATENATE("R4C",'Mapa final'!#REF!),"")</f>
        <v>#REF!</v>
      </c>
      <c r="O29" s="67" t="e">
        <f>IF(AND('Mapa final'!#REF!="Media",'Mapa final'!#REF!="Leve"),CONCATENATE("R4C",'Mapa final'!#REF!),"")</f>
        <v>#REF!</v>
      </c>
      <c r="P29" s="65" t="str">
        <f>IF(AND('Mapa final'!$Y$36="Media",'Mapa final'!$AA$36="Menor"),CONCATENATE("R4C",'Mapa final'!$O$36),"")</f>
        <v/>
      </c>
      <c r="Q29" s="66" t="e">
        <f>IF(AND('Mapa final'!#REF!="Media",'Mapa final'!#REF!="Menor"),CONCATENATE("R4C",'Mapa final'!#REF!),"")</f>
        <v>#REF!</v>
      </c>
      <c r="R29" s="66" t="e">
        <f>IF(AND('Mapa final'!#REF!="Media",'Mapa final'!#REF!="Menor"),CONCATENATE("R4C",'Mapa final'!#REF!),"")</f>
        <v>#REF!</v>
      </c>
      <c r="S29" s="66" t="e">
        <f>IF(AND('Mapa final'!#REF!="Media",'Mapa final'!#REF!="Menor"),CONCATENATE("R4C",'Mapa final'!#REF!),"")</f>
        <v>#REF!</v>
      </c>
      <c r="T29" s="66" t="e">
        <f>IF(AND('Mapa final'!#REF!="Media",'Mapa final'!#REF!="Menor"),CONCATENATE("R4C",'Mapa final'!#REF!),"")</f>
        <v>#REF!</v>
      </c>
      <c r="U29" s="67" t="e">
        <f>IF(AND('Mapa final'!#REF!="Media",'Mapa final'!#REF!="Menor"),CONCATENATE("R4C",'Mapa final'!#REF!),"")</f>
        <v>#REF!</v>
      </c>
      <c r="V29" s="65" t="str">
        <f>IF(AND('Mapa final'!$Y$36="Media",'Mapa final'!$AA$36="Moderado"),CONCATENATE("R4C",'Mapa final'!$O$36),"")</f>
        <v/>
      </c>
      <c r="W29" s="66" t="e">
        <f>IF(AND('Mapa final'!#REF!="Media",'Mapa final'!#REF!="Moderado"),CONCATENATE("R4C",'Mapa final'!#REF!),"")</f>
        <v>#REF!</v>
      </c>
      <c r="X29" s="66" t="e">
        <f>IF(AND('Mapa final'!#REF!="Media",'Mapa final'!#REF!="Moderado"),CONCATENATE("R4C",'Mapa final'!#REF!),"")</f>
        <v>#REF!</v>
      </c>
      <c r="Y29" s="66" t="e">
        <f>IF(AND('Mapa final'!#REF!="Media",'Mapa final'!#REF!="Moderado"),CONCATENATE("R4C",'Mapa final'!#REF!),"")</f>
        <v>#REF!</v>
      </c>
      <c r="Z29" s="66" t="e">
        <f>IF(AND('Mapa final'!#REF!="Media",'Mapa final'!#REF!="Moderado"),CONCATENATE("R4C",'Mapa final'!#REF!),"")</f>
        <v>#REF!</v>
      </c>
      <c r="AA29" s="67" t="e">
        <f>IF(AND('Mapa final'!#REF!="Media",'Mapa final'!#REF!="Moderado"),CONCATENATE("R4C",'Mapa final'!#REF!),"")</f>
        <v>#REF!</v>
      </c>
      <c r="AB29" s="50" t="str">
        <f>IF(AND('Mapa final'!$Y$36="Media",'Mapa final'!$AA$36="Mayor"),CONCATENATE("R4C",'Mapa final'!$O$36),"")</f>
        <v/>
      </c>
      <c r="AC29" s="51" t="e">
        <f>IF(AND('Mapa final'!#REF!="Media",'Mapa final'!#REF!="Mayor"),CONCATENATE("R4C",'Mapa final'!#REF!),"")</f>
        <v>#REF!</v>
      </c>
      <c r="AD29" s="51" t="e">
        <f>IF(AND('Mapa final'!#REF!="Media",'Mapa final'!#REF!="Mayor"),CONCATENATE("R4C",'Mapa final'!#REF!),"")</f>
        <v>#REF!</v>
      </c>
      <c r="AE29" s="51" t="e">
        <f>IF(AND('Mapa final'!#REF!="Media",'Mapa final'!#REF!="Mayor"),CONCATENATE("R4C",'Mapa final'!#REF!),"")</f>
        <v>#REF!</v>
      </c>
      <c r="AF29" s="51" t="e">
        <f>IF(AND('Mapa final'!#REF!="Media",'Mapa final'!#REF!="Mayor"),CONCATENATE("R4C",'Mapa final'!#REF!),"")</f>
        <v>#REF!</v>
      </c>
      <c r="AG29" s="52" t="e">
        <f>IF(AND('Mapa final'!#REF!="Media",'Mapa final'!#REF!="Mayor"),CONCATENATE("R4C",'Mapa final'!#REF!),"")</f>
        <v>#REF!</v>
      </c>
      <c r="AH29" s="53" t="str">
        <f>IF(AND('Mapa final'!$Y$36="Media",'Mapa final'!$AA$36="Catastrófico"),CONCATENATE("R4C",'Mapa final'!$O$36),"")</f>
        <v/>
      </c>
      <c r="AI29" s="54" t="e">
        <f>IF(AND('Mapa final'!#REF!="Media",'Mapa final'!#REF!="Catastrófico"),CONCATENATE("R4C",'Mapa final'!#REF!),"")</f>
        <v>#REF!</v>
      </c>
      <c r="AJ29" s="54" t="e">
        <f>IF(AND('Mapa final'!#REF!="Media",'Mapa final'!#REF!="Catastrófico"),CONCATENATE("R4C",'Mapa final'!#REF!),"")</f>
        <v>#REF!</v>
      </c>
      <c r="AK29" s="54" t="e">
        <f>IF(AND('Mapa final'!#REF!="Media",'Mapa final'!#REF!="Catastrófico"),CONCATENATE("R4C",'Mapa final'!#REF!),"")</f>
        <v>#REF!</v>
      </c>
      <c r="AL29" s="54" t="e">
        <f>IF(AND('Mapa final'!#REF!="Media",'Mapa final'!#REF!="Catastrófico"),CONCATENATE("R4C",'Mapa final'!#REF!),"")</f>
        <v>#REF!</v>
      </c>
      <c r="AM29" s="55" t="e">
        <f>IF(AND('Mapa final'!#REF!="Media",'Mapa final'!#REF!="Catastrófico"),CONCATENATE("R4C",'Mapa final'!#REF!),"")</f>
        <v>#REF!</v>
      </c>
      <c r="AN29" s="81"/>
      <c r="AO29" s="482"/>
      <c r="AP29" s="483"/>
      <c r="AQ29" s="483"/>
      <c r="AR29" s="483"/>
      <c r="AS29" s="483"/>
      <c r="AT29" s="484"/>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354"/>
      <c r="C30" s="354"/>
      <c r="D30" s="355"/>
      <c r="E30" s="453"/>
      <c r="F30" s="452"/>
      <c r="G30" s="452"/>
      <c r="H30" s="452"/>
      <c r="I30" s="468"/>
      <c r="J30" s="65" t="str">
        <f>IF(AND('Mapa final'!$Y$37="Media",'Mapa final'!$AA$37="Leve"),CONCATENATE("R5C",'Mapa final'!$O$37),"")</f>
        <v/>
      </c>
      <c r="K30" s="66" t="e">
        <f>IF(AND('Mapa final'!#REF!="Media",'Mapa final'!#REF!="Leve"),CONCATENATE("R5C",'Mapa final'!#REF!),"")</f>
        <v>#REF!</v>
      </c>
      <c r="L30" s="66" t="e">
        <f>IF(AND('Mapa final'!#REF!="Media",'Mapa final'!#REF!="Leve"),CONCATENATE("R5C",'Mapa final'!#REF!),"")</f>
        <v>#REF!</v>
      </c>
      <c r="M30" s="66" t="e">
        <f>IF(AND('Mapa final'!#REF!="Media",'Mapa final'!#REF!="Leve"),CONCATENATE("R5C",'Mapa final'!#REF!),"")</f>
        <v>#REF!</v>
      </c>
      <c r="N30" s="66" t="e">
        <f>IF(AND('Mapa final'!#REF!="Media",'Mapa final'!#REF!="Leve"),CONCATENATE("R5C",'Mapa final'!#REF!),"")</f>
        <v>#REF!</v>
      </c>
      <c r="O30" s="67" t="e">
        <f>IF(AND('Mapa final'!#REF!="Media",'Mapa final'!#REF!="Leve"),CONCATENATE("R5C",'Mapa final'!#REF!),"")</f>
        <v>#REF!</v>
      </c>
      <c r="P30" s="65" t="str">
        <f>IF(AND('Mapa final'!$Y$37="Media",'Mapa final'!$AA$37="Menor"),CONCATENATE("R5C",'Mapa final'!$O$37),"")</f>
        <v>R5C1</v>
      </c>
      <c r="Q30" s="66" t="e">
        <f>IF(AND('Mapa final'!#REF!="Media",'Mapa final'!#REF!="Menor"),CONCATENATE("R5C",'Mapa final'!#REF!),"")</f>
        <v>#REF!</v>
      </c>
      <c r="R30" s="66" t="e">
        <f>IF(AND('Mapa final'!#REF!="Media",'Mapa final'!#REF!="Menor"),CONCATENATE("R5C",'Mapa final'!#REF!),"")</f>
        <v>#REF!</v>
      </c>
      <c r="S30" s="66" t="e">
        <f>IF(AND('Mapa final'!#REF!="Media",'Mapa final'!#REF!="Menor"),CONCATENATE("R5C",'Mapa final'!#REF!),"")</f>
        <v>#REF!</v>
      </c>
      <c r="T30" s="66" t="e">
        <f>IF(AND('Mapa final'!#REF!="Media",'Mapa final'!#REF!="Menor"),CONCATENATE("R5C",'Mapa final'!#REF!),"")</f>
        <v>#REF!</v>
      </c>
      <c r="U30" s="67" t="e">
        <f>IF(AND('Mapa final'!#REF!="Media",'Mapa final'!#REF!="Menor"),CONCATENATE("R5C",'Mapa final'!#REF!),"")</f>
        <v>#REF!</v>
      </c>
      <c r="V30" s="65" t="str">
        <f>IF(AND('Mapa final'!$Y$37="Media",'Mapa final'!$AA$37="Moderado"),CONCATENATE("R5C",'Mapa final'!$O$37),"")</f>
        <v/>
      </c>
      <c r="W30" s="66" t="e">
        <f>IF(AND('Mapa final'!#REF!="Media",'Mapa final'!#REF!="Moderado"),CONCATENATE("R5C",'Mapa final'!#REF!),"")</f>
        <v>#REF!</v>
      </c>
      <c r="X30" s="66" t="e">
        <f>IF(AND('Mapa final'!#REF!="Media",'Mapa final'!#REF!="Moderado"),CONCATENATE("R5C",'Mapa final'!#REF!),"")</f>
        <v>#REF!</v>
      </c>
      <c r="Y30" s="66" t="e">
        <f>IF(AND('Mapa final'!#REF!="Media",'Mapa final'!#REF!="Moderado"),CONCATENATE("R5C",'Mapa final'!#REF!),"")</f>
        <v>#REF!</v>
      </c>
      <c r="Z30" s="66" t="e">
        <f>IF(AND('Mapa final'!#REF!="Media",'Mapa final'!#REF!="Moderado"),CONCATENATE("R5C",'Mapa final'!#REF!),"")</f>
        <v>#REF!</v>
      </c>
      <c r="AA30" s="67" t="e">
        <f>IF(AND('Mapa final'!#REF!="Media",'Mapa final'!#REF!="Moderado"),CONCATENATE("R5C",'Mapa final'!#REF!),"")</f>
        <v>#REF!</v>
      </c>
      <c r="AB30" s="50" t="str">
        <f>IF(AND('Mapa final'!$Y$37="Media",'Mapa final'!$AA$37="Mayor"),CONCATENATE("R5C",'Mapa final'!$O$37),"")</f>
        <v/>
      </c>
      <c r="AC30" s="51" t="e">
        <f>IF(AND('Mapa final'!#REF!="Media",'Mapa final'!#REF!="Mayor"),CONCATENATE("R5C",'Mapa final'!#REF!),"")</f>
        <v>#REF!</v>
      </c>
      <c r="AD30" s="51" t="e">
        <f>IF(AND('Mapa final'!#REF!="Media",'Mapa final'!#REF!="Mayor"),CONCATENATE("R5C",'Mapa final'!#REF!),"")</f>
        <v>#REF!</v>
      </c>
      <c r="AE30" s="51" t="e">
        <f>IF(AND('Mapa final'!#REF!="Media",'Mapa final'!#REF!="Mayor"),CONCATENATE("R5C",'Mapa final'!#REF!),"")</f>
        <v>#REF!</v>
      </c>
      <c r="AF30" s="51" t="e">
        <f>IF(AND('Mapa final'!#REF!="Media",'Mapa final'!#REF!="Mayor"),CONCATENATE("R5C",'Mapa final'!#REF!),"")</f>
        <v>#REF!</v>
      </c>
      <c r="AG30" s="52" t="e">
        <f>IF(AND('Mapa final'!#REF!="Media",'Mapa final'!#REF!="Mayor"),CONCATENATE("R5C",'Mapa final'!#REF!),"")</f>
        <v>#REF!</v>
      </c>
      <c r="AH30" s="53" t="str">
        <f>IF(AND('Mapa final'!$Y$37="Media",'Mapa final'!$AA$37="Catastrófico"),CONCATENATE("R5C",'Mapa final'!$O$37),"")</f>
        <v/>
      </c>
      <c r="AI30" s="54" t="e">
        <f>IF(AND('Mapa final'!#REF!="Media",'Mapa final'!#REF!="Catastrófico"),CONCATENATE("R5C",'Mapa final'!#REF!),"")</f>
        <v>#REF!</v>
      </c>
      <c r="AJ30" s="54" t="e">
        <f>IF(AND('Mapa final'!#REF!="Media",'Mapa final'!#REF!="Catastrófico"),CONCATENATE("R5C",'Mapa final'!#REF!),"")</f>
        <v>#REF!</v>
      </c>
      <c r="AK30" s="54" t="e">
        <f>IF(AND('Mapa final'!#REF!="Media",'Mapa final'!#REF!="Catastrófico"),CONCATENATE("R5C",'Mapa final'!#REF!),"")</f>
        <v>#REF!</v>
      </c>
      <c r="AL30" s="54" t="e">
        <f>IF(AND('Mapa final'!#REF!="Media",'Mapa final'!#REF!="Catastrófico"),CONCATENATE("R5C",'Mapa final'!#REF!),"")</f>
        <v>#REF!</v>
      </c>
      <c r="AM30" s="55" t="e">
        <f>IF(AND('Mapa final'!#REF!="Media",'Mapa final'!#REF!="Catastrófico"),CONCATENATE("R5C",'Mapa final'!#REF!),"")</f>
        <v>#REF!</v>
      </c>
      <c r="AN30" s="81"/>
      <c r="AO30" s="482"/>
      <c r="AP30" s="483"/>
      <c r="AQ30" s="483"/>
      <c r="AR30" s="483"/>
      <c r="AS30" s="483"/>
      <c r="AT30" s="484"/>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354"/>
      <c r="C31" s="354"/>
      <c r="D31" s="355"/>
      <c r="E31" s="453"/>
      <c r="F31" s="452"/>
      <c r="G31" s="452"/>
      <c r="H31" s="452"/>
      <c r="I31" s="468"/>
      <c r="J31" s="65" t="e">
        <f>IF(AND('Mapa final'!#REF!="Media",'Mapa final'!#REF!="Leve"),CONCATENATE("R6C",'Mapa final'!#REF!),"")</f>
        <v>#REF!</v>
      </c>
      <c r="K31" s="66" t="e">
        <f>IF(AND('Mapa final'!#REF!="Media",'Mapa final'!#REF!="Leve"),CONCATENATE("R6C",'Mapa final'!#REF!),"")</f>
        <v>#REF!</v>
      </c>
      <c r="L31" s="66" t="e">
        <f>IF(AND('Mapa final'!#REF!="Media",'Mapa final'!#REF!="Leve"),CONCATENATE("R6C",'Mapa final'!#REF!),"")</f>
        <v>#REF!</v>
      </c>
      <c r="M31" s="66" t="e">
        <f>IF(AND('Mapa final'!#REF!="Media",'Mapa final'!#REF!="Leve"),CONCATENATE("R6C",'Mapa final'!#REF!),"")</f>
        <v>#REF!</v>
      </c>
      <c r="N31" s="66" t="e">
        <f>IF(AND('Mapa final'!#REF!="Media",'Mapa final'!#REF!="Leve"),CONCATENATE("R6C",'Mapa final'!#REF!),"")</f>
        <v>#REF!</v>
      </c>
      <c r="O31" s="67" t="e">
        <f>IF(AND('Mapa final'!#REF!="Media",'Mapa final'!#REF!="Leve"),CONCATENATE("R6C",'Mapa final'!#REF!),"")</f>
        <v>#REF!</v>
      </c>
      <c r="P31" s="65" t="e">
        <f>IF(AND('Mapa final'!#REF!="Media",'Mapa final'!#REF!="Menor"),CONCATENATE("R6C",'Mapa final'!#REF!),"")</f>
        <v>#REF!</v>
      </c>
      <c r="Q31" s="66" t="e">
        <f>IF(AND('Mapa final'!#REF!="Media",'Mapa final'!#REF!="Menor"),CONCATENATE("R6C",'Mapa final'!#REF!),"")</f>
        <v>#REF!</v>
      </c>
      <c r="R31" s="66" t="e">
        <f>IF(AND('Mapa final'!#REF!="Media",'Mapa final'!#REF!="Menor"),CONCATENATE("R6C",'Mapa final'!#REF!),"")</f>
        <v>#REF!</v>
      </c>
      <c r="S31" s="66" t="e">
        <f>IF(AND('Mapa final'!#REF!="Media",'Mapa final'!#REF!="Menor"),CONCATENATE("R6C",'Mapa final'!#REF!),"")</f>
        <v>#REF!</v>
      </c>
      <c r="T31" s="66" t="e">
        <f>IF(AND('Mapa final'!#REF!="Media",'Mapa final'!#REF!="Menor"),CONCATENATE("R6C",'Mapa final'!#REF!),"")</f>
        <v>#REF!</v>
      </c>
      <c r="U31" s="67" t="e">
        <f>IF(AND('Mapa final'!#REF!="Media",'Mapa final'!#REF!="Menor"),CONCATENATE("R6C",'Mapa final'!#REF!),"")</f>
        <v>#REF!</v>
      </c>
      <c r="V31" s="65" t="e">
        <f>IF(AND('Mapa final'!#REF!="Media",'Mapa final'!#REF!="Moderado"),CONCATENATE("R6C",'Mapa final'!#REF!),"")</f>
        <v>#REF!</v>
      </c>
      <c r="W31" s="66" t="e">
        <f>IF(AND('Mapa final'!#REF!="Media",'Mapa final'!#REF!="Moderado"),CONCATENATE("R6C",'Mapa final'!#REF!),"")</f>
        <v>#REF!</v>
      </c>
      <c r="X31" s="66" t="e">
        <f>IF(AND('Mapa final'!#REF!="Media",'Mapa final'!#REF!="Moderado"),CONCATENATE("R6C",'Mapa final'!#REF!),"")</f>
        <v>#REF!</v>
      </c>
      <c r="Y31" s="66" t="e">
        <f>IF(AND('Mapa final'!#REF!="Media",'Mapa final'!#REF!="Moderado"),CONCATENATE("R6C",'Mapa final'!#REF!),"")</f>
        <v>#REF!</v>
      </c>
      <c r="Z31" s="66" t="e">
        <f>IF(AND('Mapa final'!#REF!="Media",'Mapa final'!#REF!="Moderado"),CONCATENATE("R6C",'Mapa final'!#REF!),"")</f>
        <v>#REF!</v>
      </c>
      <c r="AA31" s="67" t="e">
        <f>IF(AND('Mapa final'!#REF!="Media",'Mapa final'!#REF!="Moderado"),CONCATENATE("R6C",'Mapa final'!#REF!),"")</f>
        <v>#REF!</v>
      </c>
      <c r="AB31" s="50" t="e">
        <f>IF(AND('Mapa final'!#REF!="Media",'Mapa final'!#REF!="Mayor"),CONCATENATE("R6C",'Mapa final'!#REF!),"")</f>
        <v>#REF!</v>
      </c>
      <c r="AC31" s="51" t="e">
        <f>IF(AND('Mapa final'!#REF!="Media",'Mapa final'!#REF!="Mayor"),CONCATENATE("R6C",'Mapa final'!#REF!),"")</f>
        <v>#REF!</v>
      </c>
      <c r="AD31" s="51" t="e">
        <f>IF(AND('Mapa final'!#REF!="Media",'Mapa final'!#REF!="Mayor"),CONCATENATE("R6C",'Mapa final'!#REF!),"")</f>
        <v>#REF!</v>
      </c>
      <c r="AE31" s="51" t="e">
        <f>IF(AND('Mapa final'!#REF!="Media",'Mapa final'!#REF!="Mayor"),CONCATENATE("R6C",'Mapa final'!#REF!),"")</f>
        <v>#REF!</v>
      </c>
      <c r="AF31" s="51" t="e">
        <f>IF(AND('Mapa final'!#REF!="Media",'Mapa final'!#REF!="Mayor"),CONCATENATE("R6C",'Mapa final'!#REF!),"")</f>
        <v>#REF!</v>
      </c>
      <c r="AG31" s="52" t="e">
        <f>IF(AND('Mapa final'!#REF!="Media",'Mapa final'!#REF!="Mayor"),CONCATENATE("R6C",'Mapa final'!#REF!),"")</f>
        <v>#REF!</v>
      </c>
      <c r="AH31" s="53" t="e">
        <f>IF(AND('Mapa final'!#REF!="Media",'Mapa final'!#REF!="Catastrófico"),CONCATENATE("R6C",'Mapa final'!#REF!),"")</f>
        <v>#REF!</v>
      </c>
      <c r="AI31" s="54" t="e">
        <f>IF(AND('Mapa final'!#REF!="Media",'Mapa final'!#REF!="Catastrófico"),CONCATENATE("R6C",'Mapa final'!#REF!),"")</f>
        <v>#REF!</v>
      </c>
      <c r="AJ31" s="54" t="e">
        <f>IF(AND('Mapa final'!#REF!="Media",'Mapa final'!#REF!="Catastrófico"),CONCATENATE("R6C",'Mapa final'!#REF!),"")</f>
        <v>#REF!</v>
      </c>
      <c r="AK31" s="54" t="e">
        <f>IF(AND('Mapa final'!#REF!="Media",'Mapa final'!#REF!="Catastrófico"),CONCATENATE("R6C",'Mapa final'!#REF!),"")</f>
        <v>#REF!</v>
      </c>
      <c r="AL31" s="54" t="e">
        <f>IF(AND('Mapa final'!#REF!="Media",'Mapa final'!#REF!="Catastrófico"),CONCATENATE("R6C",'Mapa final'!#REF!),"")</f>
        <v>#REF!</v>
      </c>
      <c r="AM31" s="55" t="e">
        <f>IF(AND('Mapa final'!#REF!="Media",'Mapa final'!#REF!="Catastrófico"),CONCATENATE("R6C",'Mapa final'!#REF!),"")</f>
        <v>#REF!</v>
      </c>
      <c r="AN31" s="81"/>
      <c r="AO31" s="482"/>
      <c r="AP31" s="483"/>
      <c r="AQ31" s="483"/>
      <c r="AR31" s="483"/>
      <c r="AS31" s="483"/>
      <c r="AT31" s="484"/>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354"/>
      <c r="C32" s="354"/>
      <c r="D32" s="355"/>
      <c r="E32" s="453"/>
      <c r="F32" s="452"/>
      <c r="G32" s="452"/>
      <c r="H32" s="452"/>
      <c r="I32" s="468"/>
      <c r="J32" s="65" t="e">
        <f>IF(AND('Mapa final'!#REF!="Media",'Mapa final'!#REF!="Leve"),CONCATENATE("R7C",'Mapa final'!#REF!),"")</f>
        <v>#REF!</v>
      </c>
      <c r="K32" s="66" t="e">
        <f>IF(AND('Mapa final'!#REF!="Media",'Mapa final'!#REF!="Leve"),CONCATENATE("R7C",'Mapa final'!#REF!),"")</f>
        <v>#REF!</v>
      </c>
      <c r="L32" s="66" t="e">
        <f>IF(AND('Mapa final'!#REF!="Media",'Mapa final'!#REF!="Leve"),CONCATENATE("R7C",'Mapa final'!#REF!),"")</f>
        <v>#REF!</v>
      </c>
      <c r="M32" s="66" t="e">
        <f>IF(AND('Mapa final'!#REF!="Media",'Mapa final'!#REF!="Leve"),CONCATENATE("R7C",'Mapa final'!#REF!),"")</f>
        <v>#REF!</v>
      </c>
      <c r="N32" s="66" t="e">
        <f>IF(AND('Mapa final'!#REF!="Media",'Mapa final'!#REF!="Leve"),CONCATENATE("R7C",'Mapa final'!#REF!),"")</f>
        <v>#REF!</v>
      </c>
      <c r="O32" s="67" t="e">
        <f>IF(AND('Mapa final'!#REF!="Media",'Mapa final'!#REF!="Leve"),CONCATENATE("R7C",'Mapa final'!#REF!),"")</f>
        <v>#REF!</v>
      </c>
      <c r="P32" s="65" t="e">
        <f>IF(AND('Mapa final'!#REF!="Media",'Mapa final'!#REF!="Menor"),CONCATENATE("R7C",'Mapa final'!#REF!),"")</f>
        <v>#REF!</v>
      </c>
      <c r="Q32" s="66" t="e">
        <f>IF(AND('Mapa final'!#REF!="Media",'Mapa final'!#REF!="Menor"),CONCATENATE("R7C",'Mapa final'!#REF!),"")</f>
        <v>#REF!</v>
      </c>
      <c r="R32" s="66" t="e">
        <f>IF(AND('Mapa final'!#REF!="Media",'Mapa final'!#REF!="Menor"),CONCATENATE("R7C",'Mapa final'!#REF!),"")</f>
        <v>#REF!</v>
      </c>
      <c r="S32" s="66" t="e">
        <f>IF(AND('Mapa final'!#REF!="Media",'Mapa final'!#REF!="Menor"),CONCATENATE("R7C",'Mapa final'!#REF!),"")</f>
        <v>#REF!</v>
      </c>
      <c r="T32" s="66" t="e">
        <f>IF(AND('Mapa final'!#REF!="Media",'Mapa final'!#REF!="Menor"),CONCATENATE("R7C",'Mapa final'!#REF!),"")</f>
        <v>#REF!</v>
      </c>
      <c r="U32" s="67" t="e">
        <f>IF(AND('Mapa final'!#REF!="Media",'Mapa final'!#REF!="Menor"),CONCATENATE("R7C",'Mapa final'!#REF!),"")</f>
        <v>#REF!</v>
      </c>
      <c r="V32" s="65" t="e">
        <f>IF(AND('Mapa final'!#REF!="Media",'Mapa final'!#REF!="Moderado"),CONCATENATE("R7C",'Mapa final'!#REF!),"")</f>
        <v>#REF!</v>
      </c>
      <c r="W32" s="66" t="e">
        <f>IF(AND('Mapa final'!#REF!="Media",'Mapa final'!#REF!="Moderado"),CONCATENATE("R7C",'Mapa final'!#REF!),"")</f>
        <v>#REF!</v>
      </c>
      <c r="X32" s="66" t="e">
        <f>IF(AND('Mapa final'!#REF!="Media",'Mapa final'!#REF!="Moderado"),CONCATENATE("R7C",'Mapa final'!#REF!),"")</f>
        <v>#REF!</v>
      </c>
      <c r="Y32" s="66" t="e">
        <f>IF(AND('Mapa final'!#REF!="Media",'Mapa final'!#REF!="Moderado"),CONCATENATE("R7C",'Mapa final'!#REF!),"")</f>
        <v>#REF!</v>
      </c>
      <c r="Z32" s="66" t="e">
        <f>IF(AND('Mapa final'!#REF!="Media",'Mapa final'!#REF!="Moderado"),CONCATENATE("R7C",'Mapa final'!#REF!),"")</f>
        <v>#REF!</v>
      </c>
      <c r="AA32" s="67" t="e">
        <f>IF(AND('Mapa final'!#REF!="Media",'Mapa final'!#REF!="Moderado"),CONCATENATE("R7C",'Mapa final'!#REF!),"")</f>
        <v>#REF!</v>
      </c>
      <c r="AB32" s="50" t="e">
        <f>IF(AND('Mapa final'!#REF!="Media",'Mapa final'!#REF!="Mayor"),CONCATENATE("R7C",'Mapa final'!#REF!),"")</f>
        <v>#REF!</v>
      </c>
      <c r="AC32" s="51" t="e">
        <f>IF(AND('Mapa final'!#REF!="Media",'Mapa final'!#REF!="Mayor"),CONCATENATE("R7C",'Mapa final'!#REF!),"")</f>
        <v>#REF!</v>
      </c>
      <c r="AD32" s="51" t="e">
        <f>IF(AND('Mapa final'!#REF!="Media",'Mapa final'!#REF!="Mayor"),CONCATENATE("R7C",'Mapa final'!#REF!),"")</f>
        <v>#REF!</v>
      </c>
      <c r="AE32" s="51" t="e">
        <f>IF(AND('Mapa final'!#REF!="Media",'Mapa final'!#REF!="Mayor"),CONCATENATE("R7C",'Mapa final'!#REF!),"")</f>
        <v>#REF!</v>
      </c>
      <c r="AF32" s="51" t="e">
        <f>IF(AND('Mapa final'!#REF!="Media",'Mapa final'!#REF!="Mayor"),CONCATENATE("R7C",'Mapa final'!#REF!),"")</f>
        <v>#REF!</v>
      </c>
      <c r="AG32" s="52" t="e">
        <f>IF(AND('Mapa final'!#REF!="Media",'Mapa final'!#REF!="Mayor"),CONCATENATE("R7C",'Mapa final'!#REF!),"")</f>
        <v>#REF!</v>
      </c>
      <c r="AH32" s="53" t="e">
        <f>IF(AND('Mapa final'!#REF!="Media",'Mapa final'!#REF!="Catastrófico"),CONCATENATE("R7C",'Mapa final'!#REF!),"")</f>
        <v>#REF!</v>
      </c>
      <c r="AI32" s="54" t="e">
        <f>IF(AND('Mapa final'!#REF!="Media",'Mapa final'!#REF!="Catastrófico"),CONCATENATE("R7C",'Mapa final'!#REF!),"")</f>
        <v>#REF!</v>
      </c>
      <c r="AJ32" s="54" t="e">
        <f>IF(AND('Mapa final'!#REF!="Media",'Mapa final'!#REF!="Catastrófico"),CONCATENATE("R7C",'Mapa final'!#REF!),"")</f>
        <v>#REF!</v>
      </c>
      <c r="AK32" s="54" t="e">
        <f>IF(AND('Mapa final'!#REF!="Media",'Mapa final'!#REF!="Catastrófico"),CONCATENATE("R7C",'Mapa final'!#REF!),"")</f>
        <v>#REF!</v>
      </c>
      <c r="AL32" s="54" t="e">
        <f>IF(AND('Mapa final'!#REF!="Media",'Mapa final'!#REF!="Catastrófico"),CONCATENATE("R7C",'Mapa final'!#REF!),"")</f>
        <v>#REF!</v>
      </c>
      <c r="AM32" s="55" t="e">
        <f>IF(AND('Mapa final'!#REF!="Media",'Mapa final'!#REF!="Catastrófico"),CONCATENATE("R7C",'Mapa final'!#REF!),"")</f>
        <v>#REF!</v>
      </c>
      <c r="AN32" s="81"/>
      <c r="AO32" s="482"/>
      <c r="AP32" s="483"/>
      <c r="AQ32" s="483"/>
      <c r="AR32" s="483"/>
      <c r="AS32" s="483"/>
      <c r="AT32" s="484"/>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354"/>
      <c r="C33" s="354"/>
      <c r="D33" s="355"/>
      <c r="E33" s="453"/>
      <c r="F33" s="452"/>
      <c r="G33" s="452"/>
      <c r="H33" s="452"/>
      <c r="I33" s="468"/>
      <c r="J33" s="65" t="str">
        <f>IF(AND('Mapa final'!$Y$38="Media",'Mapa final'!$AA$38="Leve"),CONCATENATE("R8C",'Mapa final'!$O$38),"")</f>
        <v/>
      </c>
      <c r="K33" s="66" t="str">
        <f>IF(AND('Mapa final'!$Y$39="Media",'Mapa final'!$AA$39="Leve"),CONCATENATE("R8C",'Mapa final'!$O$39),"")</f>
        <v/>
      </c>
      <c r="L33" s="66" t="str">
        <f>IF(AND('Mapa final'!$Y$40="Media",'Mapa final'!$AA$40="Leve"),CONCATENATE("R8C",'Mapa final'!$O$40),"")</f>
        <v/>
      </c>
      <c r="M33" s="66" t="str">
        <f>IF(AND('Mapa final'!$Y$41="Media",'Mapa final'!$AA$41="Leve"),CONCATENATE("R8C",'Mapa final'!$O$41),"")</f>
        <v/>
      </c>
      <c r="N33" s="66" t="str">
        <f>IF(AND('Mapa final'!$Y$42="Media",'Mapa final'!$AA$42="Leve"),CONCATENATE("R8C",'Mapa final'!$O$42),"")</f>
        <v/>
      </c>
      <c r="O33" s="67" t="str">
        <f>IF(AND('Mapa final'!$Y$43="Media",'Mapa final'!$AA$43="Leve"),CONCATENATE("R8C",'Mapa final'!$O$43),"")</f>
        <v/>
      </c>
      <c r="P33" s="65" t="str">
        <f>IF(AND('Mapa final'!$Y$38="Media",'Mapa final'!$AA$38="Menor"),CONCATENATE("R8C",'Mapa final'!$O$38),"")</f>
        <v/>
      </c>
      <c r="Q33" s="66" t="str">
        <f>IF(AND('Mapa final'!$Y$39="Media",'Mapa final'!$AA$39="Menor"),CONCATENATE("R8C",'Mapa final'!$O$39),"")</f>
        <v/>
      </c>
      <c r="R33" s="66" t="str">
        <f>IF(AND('Mapa final'!$Y$40="Media",'Mapa final'!$AA$40="Menor"),CONCATENATE("R8C",'Mapa final'!$O$40),"")</f>
        <v/>
      </c>
      <c r="S33" s="66" t="str">
        <f>IF(AND('Mapa final'!$Y$41="Media",'Mapa final'!$AA$41="Menor"),CONCATENATE("R8C",'Mapa final'!$O$41),"")</f>
        <v/>
      </c>
      <c r="T33" s="66" t="str">
        <f>IF(AND('Mapa final'!$Y$42="Media",'Mapa final'!$AA$42="Menor"),CONCATENATE("R8C",'Mapa final'!$O$42),"")</f>
        <v/>
      </c>
      <c r="U33" s="67" t="str">
        <f>IF(AND('Mapa final'!$Y$43="Media",'Mapa final'!$AA$43="Menor"),CONCATENATE("R8C",'Mapa final'!$O$43),"")</f>
        <v/>
      </c>
      <c r="V33" s="65" t="str">
        <f>IF(AND('Mapa final'!$Y$38="Media",'Mapa final'!$AA$38="Moderado"),CONCATENATE("R8C",'Mapa final'!$O$38),"")</f>
        <v/>
      </c>
      <c r="W33" s="66" t="str">
        <f>IF(AND('Mapa final'!$Y$39="Media",'Mapa final'!$AA$39="Moderado"),CONCATENATE("R8C",'Mapa final'!$O$39),"")</f>
        <v/>
      </c>
      <c r="X33" s="66" t="str">
        <f>IF(AND('Mapa final'!$Y$40="Media",'Mapa final'!$AA$40="Moderado"),CONCATENATE("R8C",'Mapa final'!$O$40),"")</f>
        <v/>
      </c>
      <c r="Y33" s="66" t="str">
        <f>IF(AND('Mapa final'!$Y$41="Media",'Mapa final'!$AA$41="Moderado"),CONCATENATE("R8C",'Mapa final'!$O$41),"")</f>
        <v/>
      </c>
      <c r="Z33" s="66" t="str">
        <f>IF(AND('Mapa final'!$Y$42="Media",'Mapa final'!$AA$42="Moderado"),CONCATENATE("R8C",'Mapa final'!$O$42),"")</f>
        <v/>
      </c>
      <c r="AA33" s="67" t="str">
        <f>IF(AND('Mapa final'!$Y$43="Media",'Mapa final'!$AA$43="Moderado"),CONCATENATE("R8C",'Mapa final'!$O$43),"")</f>
        <v/>
      </c>
      <c r="AB33" s="50" t="str">
        <f>IF(AND('Mapa final'!$Y$38="Media",'Mapa final'!$AA$38="Mayor"),CONCATENATE("R8C",'Mapa final'!$O$38),"")</f>
        <v/>
      </c>
      <c r="AC33" s="51" t="str">
        <f>IF(AND('Mapa final'!$Y$39="Media",'Mapa final'!$AA$39="Mayor"),CONCATENATE("R8C",'Mapa final'!$O$39),"")</f>
        <v/>
      </c>
      <c r="AD33" s="51" t="str">
        <f>IF(AND('Mapa final'!$Y$40="Media",'Mapa final'!$AA$40="Mayor"),CONCATENATE("R8C",'Mapa final'!$O$40),"")</f>
        <v/>
      </c>
      <c r="AE33" s="51" t="str">
        <f>IF(AND('Mapa final'!$Y$41="Media",'Mapa final'!$AA$41="Mayor"),CONCATENATE("R8C",'Mapa final'!$O$41),"")</f>
        <v/>
      </c>
      <c r="AF33" s="51" t="str">
        <f>IF(AND('Mapa final'!$Y$42="Media",'Mapa final'!$AA$42="Mayor"),CONCATENATE("R8C",'Mapa final'!$O$42),"")</f>
        <v/>
      </c>
      <c r="AG33" s="52" t="str">
        <f>IF(AND('Mapa final'!$Y$43="Media",'Mapa final'!$AA$43="Mayor"),CONCATENATE("R8C",'Mapa final'!$O$43),"")</f>
        <v/>
      </c>
      <c r="AH33" s="53" t="str">
        <f>IF(AND('Mapa final'!$Y$38="Media",'Mapa final'!$AA$38="Catastrófico"),CONCATENATE("R8C",'Mapa final'!$O$38),"")</f>
        <v/>
      </c>
      <c r="AI33" s="54" t="str">
        <f>IF(AND('Mapa final'!$Y$39="Media",'Mapa final'!$AA$39="Catastrófico"),CONCATENATE("R8C",'Mapa final'!$O$39),"")</f>
        <v/>
      </c>
      <c r="AJ33" s="54" t="str">
        <f>IF(AND('Mapa final'!$Y$40="Media",'Mapa final'!$AA$40="Catastrófico"),CONCATENATE("R8C",'Mapa final'!$O$40),"")</f>
        <v/>
      </c>
      <c r="AK33" s="54" t="str">
        <f>IF(AND('Mapa final'!$Y$41="Media",'Mapa final'!$AA$41="Catastrófico"),CONCATENATE("R8C",'Mapa final'!$O$41),"")</f>
        <v/>
      </c>
      <c r="AL33" s="54" t="str">
        <f>IF(AND('Mapa final'!$Y$42="Media",'Mapa final'!$AA$42="Catastrófico"),CONCATENATE("R8C",'Mapa final'!$O$42),"")</f>
        <v/>
      </c>
      <c r="AM33" s="55" t="str">
        <f>IF(AND('Mapa final'!$Y$43="Media",'Mapa final'!$AA$43="Catastrófico"),CONCATENATE("R8C",'Mapa final'!$O$43),"")</f>
        <v/>
      </c>
      <c r="AN33" s="81"/>
      <c r="AO33" s="482"/>
      <c r="AP33" s="483"/>
      <c r="AQ33" s="483"/>
      <c r="AR33" s="483"/>
      <c r="AS33" s="483"/>
      <c r="AT33" s="484"/>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354"/>
      <c r="C34" s="354"/>
      <c r="D34" s="355"/>
      <c r="E34" s="453"/>
      <c r="F34" s="452"/>
      <c r="G34" s="452"/>
      <c r="H34" s="452"/>
      <c r="I34" s="468"/>
      <c r="J34" s="65" t="str">
        <f>IF(AND('Mapa final'!$Y$44="Media",'Mapa final'!$AA$44="Leve"),CONCATENATE("R9C",'Mapa final'!$O$44),"")</f>
        <v/>
      </c>
      <c r="K34" s="66" t="str">
        <f>IF(AND('Mapa final'!$Y$45="Media",'Mapa final'!$AA$45="Leve"),CONCATENATE("R9C",'Mapa final'!$O$45),"")</f>
        <v/>
      </c>
      <c r="L34" s="66" t="str">
        <f>IF(AND('Mapa final'!$Y$46="Media",'Mapa final'!$AA$46="Leve"),CONCATENATE("R9C",'Mapa final'!$O$46),"")</f>
        <v/>
      </c>
      <c r="M34" s="66" t="str">
        <f>IF(AND('Mapa final'!$Y$47="Media",'Mapa final'!$AA$47="Leve"),CONCATENATE("R9C",'Mapa final'!$O$47),"")</f>
        <v/>
      </c>
      <c r="N34" s="66" t="str">
        <f>IF(AND('Mapa final'!$Y$48="Media",'Mapa final'!$AA$48="Leve"),CONCATENATE("R9C",'Mapa final'!$O$48),"")</f>
        <v/>
      </c>
      <c r="O34" s="67" t="str">
        <f>IF(AND('Mapa final'!$Y$49="Media",'Mapa final'!$AA$49="Leve"),CONCATENATE("R9C",'Mapa final'!$O$49),"")</f>
        <v/>
      </c>
      <c r="P34" s="65" t="str">
        <f>IF(AND('Mapa final'!$Y$44="Media",'Mapa final'!$AA$44="Menor"),CONCATENATE("R9C",'Mapa final'!$O$44),"")</f>
        <v/>
      </c>
      <c r="Q34" s="66" t="str">
        <f>IF(AND('Mapa final'!$Y$45="Media",'Mapa final'!$AA$45="Menor"),CONCATENATE("R9C",'Mapa final'!$O$45),"")</f>
        <v/>
      </c>
      <c r="R34" s="66" t="str">
        <f>IF(AND('Mapa final'!$Y$46="Media",'Mapa final'!$AA$46="Menor"),CONCATENATE("R9C",'Mapa final'!$O$46),"")</f>
        <v/>
      </c>
      <c r="S34" s="66" t="str">
        <f>IF(AND('Mapa final'!$Y$47="Media",'Mapa final'!$AA$47="Menor"),CONCATENATE("R9C",'Mapa final'!$O$47),"")</f>
        <v/>
      </c>
      <c r="T34" s="66" t="str">
        <f>IF(AND('Mapa final'!$Y$48="Media",'Mapa final'!$AA$48="Menor"),CONCATENATE("R9C",'Mapa final'!$O$48),"")</f>
        <v/>
      </c>
      <c r="U34" s="67" t="str">
        <f>IF(AND('Mapa final'!$Y$49="Media",'Mapa final'!$AA$49="Menor"),CONCATENATE("R9C",'Mapa final'!$O$49),"")</f>
        <v/>
      </c>
      <c r="V34" s="65" t="str">
        <f>IF(AND('Mapa final'!$Y$44="Media",'Mapa final'!$AA$44="Moderado"),CONCATENATE("R9C",'Mapa final'!$O$44),"")</f>
        <v/>
      </c>
      <c r="W34" s="66" t="str">
        <f>IF(AND('Mapa final'!$Y$45="Media",'Mapa final'!$AA$45="Moderado"),CONCATENATE("R9C",'Mapa final'!$O$45),"")</f>
        <v/>
      </c>
      <c r="X34" s="66" t="str">
        <f>IF(AND('Mapa final'!$Y$46="Media",'Mapa final'!$AA$46="Moderado"),CONCATENATE("R9C",'Mapa final'!$O$46),"")</f>
        <v/>
      </c>
      <c r="Y34" s="66" t="str">
        <f>IF(AND('Mapa final'!$Y$47="Media",'Mapa final'!$AA$47="Moderado"),CONCATENATE("R9C",'Mapa final'!$O$47),"")</f>
        <v/>
      </c>
      <c r="Z34" s="66" t="str">
        <f>IF(AND('Mapa final'!$Y$48="Media",'Mapa final'!$AA$48="Moderado"),CONCATENATE("R9C",'Mapa final'!$O$48),"")</f>
        <v/>
      </c>
      <c r="AA34" s="67" t="str">
        <f>IF(AND('Mapa final'!$Y$49="Media",'Mapa final'!$AA$49="Moderado"),CONCATENATE("R9C",'Mapa final'!$O$49),"")</f>
        <v/>
      </c>
      <c r="AB34" s="50" t="str">
        <f>IF(AND('Mapa final'!$Y$44="Media",'Mapa final'!$AA$44="Mayor"),CONCATENATE("R9C",'Mapa final'!$O$44),"")</f>
        <v/>
      </c>
      <c r="AC34" s="51" t="str">
        <f>IF(AND('Mapa final'!$Y$45="Media",'Mapa final'!$AA$45="Mayor"),CONCATENATE("R9C",'Mapa final'!$O$45),"")</f>
        <v/>
      </c>
      <c r="AD34" s="51" t="str">
        <f>IF(AND('Mapa final'!$Y$46="Media",'Mapa final'!$AA$46="Mayor"),CONCATENATE("R9C",'Mapa final'!$O$46),"")</f>
        <v/>
      </c>
      <c r="AE34" s="51" t="str">
        <f>IF(AND('Mapa final'!$Y$47="Media",'Mapa final'!$AA$47="Mayor"),CONCATENATE("R9C",'Mapa final'!$O$47),"")</f>
        <v/>
      </c>
      <c r="AF34" s="51" t="str">
        <f>IF(AND('Mapa final'!$Y$48="Media",'Mapa final'!$AA$48="Mayor"),CONCATENATE("R9C",'Mapa final'!$O$48),"")</f>
        <v/>
      </c>
      <c r="AG34" s="52" t="str">
        <f>IF(AND('Mapa final'!$Y$49="Media",'Mapa final'!$AA$49="Mayor"),CONCATENATE("R9C",'Mapa final'!$O$49),"")</f>
        <v/>
      </c>
      <c r="AH34" s="53" t="str">
        <f>IF(AND('Mapa final'!$Y$44="Media",'Mapa final'!$AA$44="Catastrófico"),CONCATENATE("R9C",'Mapa final'!$O$44),"")</f>
        <v/>
      </c>
      <c r="AI34" s="54" t="str">
        <f>IF(AND('Mapa final'!$Y$45="Media",'Mapa final'!$AA$45="Catastrófico"),CONCATENATE("R9C",'Mapa final'!$O$45),"")</f>
        <v/>
      </c>
      <c r="AJ34" s="54" t="str">
        <f>IF(AND('Mapa final'!$Y$46="Media",'Mapa final'!$AA$46="Catastrófico"),CONCATENATE("R9C",'Mapa final'!$O$46),"")</f>
        <v/>
      </c>
      <c r="AK34" s="54" t="str">
        <f>IF(AND('Mapa final'!$Y$47="Media",'Mapa final'!$AA$47="Catastrófico"),CONCATENATE("R9C",'Mapa final'!$O$47),"")</f>
        <v/>
      </c>
      <c r="AL34" s="54" t="str">
        <f>IF(AND('Mapa final'!$Y$48="Media",'Mapa final'!$AA$48="Catastrófico"),CONCATENATE("R9C",'Mapa final'!$O$48),"")</f>
        <v/>
      </c>
      <c r="AM34" s="55" t="str">
        <f>IF(AND('Mapa final'!$Y$49="Media",'Mapa final'!$AA$49="Catastrófico"),CONCATENATE("R9C",'Mapa final'!$O$49),"")</f>
        <v/>
      </c>
      <c r="AN34" s="81"/>
      <c r="AO34" s="482"/>
      <c r="AP34" s="483"/>
      <c r="AQ34" s="483"/>
      <c r="AR34" s="483"/>
      <c r="AS34" s="483"/>
      <c r="AT34" s="484"/>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354"/>
      <c r="C35" s="354"/>
      <c r="D35" s="355"/>
      <c r="E35" s="454"/>
      <c r="F35" s="455"/>
      <c r="G35" s="455"/>
      <c r="H35" s="455"/>
      <c r="I35" s="469"/>
      <c r="J35" s="65" t="str">
        <f>IF(AND('Mapa final'!$Y$50="Media",'Mapa final'!$AA$50="Leve"),CONCATENATE("R10C",'Mapa final'!$O$50),"")</f>
        <v/>
      </c>
      <c r="K35" s="66" t="str">
        <f>IF(AND('Mapa final'!$Y$51="Media",'Mapa final'!$AA$51="Leve"),CONCATENATE("R10C",'Mapa final'!$O$51),"")</f>
        <v/>
      </c>
      <c r="L35" s="66" t="str">
        <f>IF(AND('Mapa final'!$Y$52="Media",'Mapa final'!$AA$52="Leve"),CONCATENATE("R10C",'Mapa final'!$O$52),"")</f>
        <v/>
      </c>
      <c r="M35" s="66" t="str">
        <f>IF(AND('Mapa final'!$Y$53="Media",'Mapa final'!$AA$53="Leve"),CONCATENATE("R10C",'Mapa final'!$O$53),"")</f>
        <v/>
      </c>
      <c r="N35" s="66" t="str">
        <f>IF(AND('Mapa final'!$Y$54="Media",'Mapa final'!$AA$54="Leve"),CONCATENATE("R10C",'Mapa final'!$O$54),"")</f>
        <v/>
      </c>
      <c r="O35" s="67" t="e">
        <f>IF(AND('Mapa final'!#REF!="Media",'Mapa final'!#REF!="Leve"),CONCATENATE("R10C",'Mapa final'!#REF!),"")</f>
        <v>#REF!</v>
      </c>
      <c r="P35" s="65" t="str">
        <f>IF(AND('Mapa final'!$Y$50="Media",'Mapa final'!$AA$50="Menor"),CONCATENATE("R10C",'Mapa final'!$O$50),"")</f>
        <v/>
      </c>
      <c r="Q35" s="66" t="str">
        <f>IF(AND('Mapa final'!$Y$51="Media",'Mapa final'!$AA$51="Menor"),CONCATENATE("R10C",'Mapa final'!$O$51),"")</f>
        <v/>
      </c>
      <c r="R35" s="66" t="str">
        <f>IF(AND('Mapa final'!$Y$52="Media",'Mapa final'!$AA$52="Menor"),CONCATENATE("R10C",'Mapa final'!$O$52),"")</f>
        <v/>
      </c>
      <c r="S35" s="66" t="str">
        <f>IF(AND('Mapa final'!$Y$53="Media",'Mapa final'!$AA$53="Menor"),CONCATENATE("R10C",'Mapa final'!$O$53),"")</f>
        <v/>
      </c>
      <c r="T35" s="66" t="str">
        <f>IF(AND('Mapa final'!$Y$54="Media",'Mapa final'!$AA$54="Menor"),CONCATENATE("R10C",'Mapa final'!$O$54),"")</f>
        <v/>
      </c>
      <c r="U35" s="67" t="e">
        <f>IF(AND('Mapa final'!#REF!="Media",'Mapa final'!#REF!="Menor"),CONCATENATE("R10C",'Mapa final'!#REF!),"")</f>
        <v>#REF!</v>
      </c>
      <c r="V35" s="65" t="str">
        <f>IF(AND('Mapa final'!$Y$50="Media",'Mapa final'!$AA$50="Moderado"),CONCATENATE("R10C",'Mapa final'!$O$50),"")</f>
        <v/>
      </c>
      <c r="W35" s="66" t="str">
        <f>IF(AND('Mapa final'!$Y$51="Media",'Mapa final'!$AA$51="Moderado"),CONCATENATE("R10C",'Mapa final'!$O$51),"")</f>
        <v/>
      </c>
      <c r="X35" s="66" t="str">
        <f>IF(AND('Mapa final'!$Y$52="Media",'Mapa final'!$AA$52="Moderado"),CONCATENATE("R10C",'Mapa final'!$O$52),"")</f>
        <v/>
      </c>
      <c r="Y35" s="66" t="str">
        <f>IF(AND('Mapa final'!$Y$53="Media",'Mapa final'!$AA$53="Moderado"),CONCATENATE("R10C",'Mapa final'!$O$53),"")</f>
        <v/>
      </c>
      <c r="Z35" s="66" t="str">
        <f>IF(AND('Mapa final'!$Y$54="Media",'Mapa final'!$AA$54="Moderado"),CONCATENATE("R10C",'Mapa final'!$O$54),"")</f>
        <v/>
      </c>
      <c r="AA35" s="67" t="e">
        <f>IF(AND('Mapa final'!#REF!="Media",'Mapa final'!#REF!="Moderado"),CONCATENATE("R10C",'Mapa final'!#REF!),"")</f>
        <v>#REF!</v>
      </c>
      <c r="AB35" s="56" t="str">
        <f>IF(AND('Mapa final'!$Y$50="Media",'Mapa final'!$AA$50="Mayor"),CONCATENATE("R10C",'Mapa final'!$O$50),"")</f>
        <v/>
      </c>
      <c r="AC35" s="57" t="str">
        <f>IF(AND('Mapa final'!$Y$51="Media",'Mapa final'!$AA$51="Mayor"),CONCATENATE("R10C",'Mapa final'!$O$51),"")</f>
        <v/>
      </c>
      <c r="AD35" s="57" t="str">
        <f>IF(AND('Mapa final'!$Y$52="Media",'Mapa final'!$AA$52="Mayor"),CONCATENATE("R10C",'Mapa final'!$O$52),"")</f>
        <v/>
      </c>
      <c r="AE35" s="57" t="str">
        <f>IF(AND('Mapa final'!$Y$53="Media",'Mapa final'!$AA$53="Mayor"),CONCATENATE("R10C",'Mapa final'!$O$53),"")</f>
        <v/>
      </c>
      <c r="AF35" s="57" t="str">
        <f>IF(AND('Mapa final'!$Y$54="Media",'Mapa final'!$AA$54="Mayor"),CONCATENATE("R10C",'Mapa final'!$O$54),"")</f>
        <v/>
      </c>
      <c r="AG35" s="58" t="e">
        <f>IF(AND('Mapa final'!#REF!="Media",'Mapa final'!#REF!="Mayor"),CONCATENATE("R10C",'Mapa final'!#REF!),"")</f>
        <v>#REF!</v>
      </c>
      <c r="AH35" s="59" t="str">
        <f>IF(AND('Mapa final'!$Y$50="Media",'Mapa final'!$AA$50="Catastrófico"),CONCATENATE("R10C",'Mapa final'!$O$50),"")</f>
        <v/>
      </c>
      <c r="AI35" s="60" t="str">
        <f>IF(AND('Mapa final'!$Y$51="Media",'Mapa final'!$AA$51="Catastrófico"),CONCATENATE("R10C",'Mapa final'!$O$51),"")</f>
        <v/>
      </c>
      <c r="AJ35" s="60" t="str">
        <f>IF(AND('Mapa final'!$Y$52="Media",'Mapa final'!$AA$52="Catastrófico"),CONCATENATE("R10C",'Mapa final'!$O$52),"")</f>
        <v/>
      </c>
      <c r="AK35" s="60" t="str">
        <f>IF(AND('Mapa final'!$Y$53="Media",'Mapa final'!$AA$53="Catastrófico"),CONCATENATE("R10C",'Mapa final'!$O$53),"")</f>
        <v/>
      </c>
      <c r="AL35" s="60" t="str">
        <f>IF(AND('Mapa final'!$Y$54="Media",'Mapa final'!$AA$54="Catastrófico"),CONCATENATE("R10C",'Mapa final'!$O$54),"")</f>
        <v/>
      </c>
      <c r="AM35" s="61" t="e">
        <f>IF(AND('Mapa final'!#REF!="Media",'Mapa final'!#REF!="Catastrófico"),CONCATENATE("R10C",'Mapa final'!#REF!),"")</f>
        <v>#REF!</v>
      </c>
      <c r="AN35" s="81"/>
      <c r="AO35" s="485"/>
      <c r="AP35" s="486"/>
      <c r="AQ35" s="486"/>
      <c r="AR35" s="486"/>
      <c r="AS35" s="486"/>
      <c r="AT35" s="487"/>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354"/>
      <c r="C36" s="354"/>
      <c r="D36" s="355"/>
      <c r="E36" s="449" t="s">
        <v>190</v>
      </c>
      <c r="F36" s="450"/>
      <c r="G36" s="450"/>
      <c r="H36" s="450"/>
      <c r="I36" s="450"/>
      <c r="J36" s="71" t="str">
        <f>IF(AND('Mapa final'!$Y$32="Baja",'Mapa final'!$AA$32="Leve"),CONCATENATE("R1C",'Mapa final'!$O$32),"")</f>
        <v/>
      </c>
      <c r="K36" s="72" t="str">
        <f>IF(AND('Mapa final'!$Y$33="Baja",'Mapa final'!$AA$33="Leve"),CONCATENATE("R1C",'Mapa final'!$O$33),"")</f>
        <v/>
      </c>
      <c r="L36" s="72" t="e">
        <f>IF(AND('Mapa final'!#REF!="Baja",'Mapa final'!#REF!="Leve"),CONCATENATE("R1C",'Mapa final'!#REF!),"")</f>
        <v>#REF!</v>
      </c>
      <c r="M36" s="72" t="e">
        <f>IF(AND('Mapa final'!#REF!="Baja",'Mapa final'!#REF!="Leve"),CONCATENATE("R1C",'Mapa final'!#REF!),"")</f>
        <v>#REF!</v>
      </c>
      <c r="N36" s="72" t="e">
        <f>IF(AND('Mapa final'!#REF!="Baja",'Mapa final'!#REF!="Leve"),CONCATENATE("R1C",'Mapa final'!#REF!),"")</f>
        <v>#REF!</v>
      </c>
      <c r="O36" s="73" t="e">
        <f>IF(AND('Mapa final'!#REF!="Baja",'Mapa final'!#REF!="Leve"),CONCATENATE("R1C",'Mapa final'!#REF!),"")</f>
        <v>#REF!</v>
      </c>
      <c r="P36" s="62" t="str">
        <f>IF(AND('Mapa final'!$Y$32="Baja",'Mapa final'!$AA$32="Menor"),CONCATENATE("R1C",'Mapa final'!$O$32),"")</f>
        <v/>
      </c>
      <c r="Q36" s="63" t="str">
        <f>IF(AND('Mapa final'!$Y$33="Baja",'Mapa final'!$AA$33="Menor"),CONCATENATE("R1C",'Mapa final'!$O$33),"")</f>
        <v/>
      </c>
      <c r="R36" s="63" t="e">
        <f>IF(AND('Mapa final'!#REF!="Baja",'Mapa final'!#REF!="Menor"),CONCATENATE("R1C",'Mapa final'!#REF!),"")</f>
        <v>#REF!</v>
      </c>
      <c r="S36" s="63" t="e">
        <f>IF(AND('Mapa final'!#REF!="Baja",'Mapa final'!#REF!="Menor"),CONCATENATE("R1C",'Mapa final'!#REF!),"")</f>
        <v>#REF!</v>
      </c>
      <c r="T36" s="63" t="e">
        <f>IF(AND('Mapa final'!#REF!="Baja",'Mapa final'!#REF!="Menor"),CONCATENATE("R1C",'Mapa final'!#REF!),"")</f>
        <v>#REF!</v>
      </c>
      <c r="U36" s="64" t="e">
        <f>IF(AND('Mapa final'!#REF!="Baja",'Mapa final'!#REF!="Menor"),CONCATENATE("R1C",'Mapa final'!#REF!),"")</f>
        <v>#REF!</v>
      </c>
      <c r="V36" s="62" t="str">
        <f>IF(AND('Mapa final'!$Y$32="Baja",'Mapa final'!$AA$32="Moderado"),CONCATENATE("R1C",'Mapa final'!$O$32),"")</f>
        <v/>
      </c>
      <c r="W36" s="63" t="str">
        <f>IF(AND('Mapa final'!$Y$33="Baja",'Mapa final'!$AA$33="Moderado"),CONCATENATE("R1C",'Mapa final'!$O$33),"")</f>
        <v/>
      </c>
      <c r="X36" s="63" t="e">
        <f>IF(AND('Mapa final'!#REF!="Baja",'Mapa final'!#REF!="Moderado"),CONCATENATE("R1C",'Mapa final'!#REF!),"")</f>
        <v>#REF!</v>
      </c>
      <c r="Y36" s="63" t="e">
        <f>IF(AND('Mapa final'!#REF!="Baja",'Mapa final'!#REF!="Moderado"),CONCATENATE("R1C",'Mapa final'!#REF!),"")</f>
        <v>#REF!</v>
      </c>
      <c r="Z36" s="63" t="e">
        <f>IF(AND('Mapa final'!#REF!="Baja",'Mapa final'!#REF!="Moderado"),CONCATENATE("R1C",'Mapa final'!#REF!),"")</f>
        <v>#REF!</v>
      </c>
      <c r="AA36" s="64" t="e">
        <f>IF(AND('Mapa final'!#REF!="Baja",'Mapa final'!#REF!="Moderado"),CONCATENATE("R1C",'Mapa final'!#REF!),"")</f>
        <v>#REF!</v>
      </c>
      <c r="AB36" s="44" t="str">
        <f>IF(AND('Mapa final'!$Y$32="Baja",'Mapa final'!$AA$32="Mayor"),CONCATENATE("R1C",'Mapa final'!$O$32),"")</f>
        <v/>
      </c>
      <c r="AC36" s="45" t="str">
        <f>IF(AND('Mapa final'!$Y$33="Baja",'Mapa final'!$AA$33="Mayor"),CONCATENATE("R1C",'Mapa final'!$O$33),"")</f>
        <v/>
      </c>
      <c r="AD36" s="45" t="e">
        <f>IF(AND('Mapa final'!#REF!="Baja",'Mapa final'!#REF!="Mayor"),CONCATENATE("R1C",'Mapa final'!#REF!),"")</f>
        <v>#REF!</v>
      </c>
      <c r="AE36" s="45" t="e">
        <f>IF(AND('Mapa final'!#REF!="Baja",'Mapa final'!#REF!="Mayor"),CONCATENATE("R1C",'Mapa final'!#REF!),"")</f>
        <v>#REF!</v>
      </c>
      <c r="AF36" s="45" t="e">
        <f>IF(AND('Mapa final'!#REF!="Baja",'Mapa final'!#REF!="Mayor"),CONCATENATE("R1C",'Mapa final'!#REF!),"")</f>
        <v>#REF!</v>
      </c>
      <c r="AG36" s="46" t="e">
        <f>IF(AND('Mapa final'!#REF!="Baja",'Mapa final'!#REF!="Mayor"),CONCATENATE("R1C",'Mapa final'!#REF!),"")</f>
        <v>#REF!</v>
      </c>
      <c r="AH36" s="47" t="str">
        <f>IF(AND('Mapa final'!$Y$32="Baja",'Mapa final'!$AA$32="Catastrófico"),CONCATENATE("R1C",'Mapa final'!$O$32),"")</f>
        <v/>
      </c>
      <c r="AI36" s="48" t="str">
        <f>IF(AND('Mapa final'!$Y$33="Baja",'Mapa final'!$AA$33="Catastrófico"),CONCATENATE("R1C",'Mapa final'!$O$33),"")</f>
        <v/>
      </c>
      <c r="AJ36" s="48" t="e">
        <f>IF(AND('Mapa final'!#REF!="Baja",'Mapa final'!#REF!="Catastrófico"),CONCATENATE("R1C",'Mapa final'!#REF!),"")</f>
        <v>#REF!</v>
      </c>
      <c r="AK36" s="48" t="e">
        <f>IF(AND('Mapa final'!#REF!="Baja",'Mapa final'!#REF!="Catastrófico"),CONCATENATE("R1C",'Mapa final'!#REF!),"")</f>
        <v>#REF!</v>
      </c>
      <c r="AL36" s="48" t="e">
        <f>IF(AND('Mapa final'!#REF!="Baja",'Mapa final'!#REF!="Catastrófico"),CONCATENATE("R1C",'Mapa final'!#REF!),"")</f>
        <v>#REF!</v>
      </c>
      <c r="AM36" s="49" t="e">
        <f>IF(AND('Mapa final'!#REF!="Baja",'Mapa final'!#REF!="Catastrófico"),CONCATENATE("R1C",'Mapa final'!#REF!),"")</f>
        <v>#REF!</v>
      </c>
      <c r="AN36" s="81"/>
      <c r="AO36" s="470" t="s">
        <v>191</v>
      </c>
      <c r="AP36" s="471"/>
      <c r="AQ36" s="471"/>
      <c r="AR36" s="471"/>
      <c r="AS36" s="471"/>
      <c r="AT36" s="472"/>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354"/>
      <c r="C37" s="354"/>
      <c r="D37" s="355"/>
      <c r="E37" s="451"/>
      <c r="F37" s="452"/>
      <c r="G37" s="452"/>
      <c r="H37" s="452"/>
      <c r="I37" s="452"/>
      <c r="J37" s="74" t="str">
        <f>IF(AND('Mapa final'!$Y$34="Baja",'Mapa final'!$AA$34="Leve"),CONCATENATE("R2C",'Mapa final'!$O$34),"")</f>
        <v>R2C1</v>
      </c>
      <c r="K37" s="75" t="e">
        <f>IF(AND('Mapa final'!#REF!="Baja",'Mapa final'!#REF!="Leve"),CONCATENATE("R2C",'Mapa final'!#REF!),"")</f>
        <v>#REF!</v>
      </c>
      <c r="L37" s="75" t="e">
        <f>IF(AND('Mapa final'!#REF!="Baja",'Mapa final'!#REF!="Leve"),CONCATENATE("R2C",'Mapa final'!#REF!),"")</f>
        <v>#REF!</v>
      </c>
      <c r="M37" s="75" t="e">
        <f>IF(AND('Mapa final'!#REF!="Baja",'Mapa final'!#REF!="Leve"),CONCATENATE("R2C",'Mapa final'!#REF!),"")</f>
        <v>#REF!</v>
      </c>
      <c r="N37" s="75" t="e">
        <f>IF(AND('Mapa final'!#REF!="Baja",'Mapa final'!#REF!="Leve"),CONCATENATE("R2C",'Mapa final'!#REF!),"")</f>
        <v>#REF!</v>
      </c>
      <c r="O37" s="76" t="e">
        <f>IF(AND('Mapa final'!#REF!="Baja",'Mapa final'!#REF!="Leve"),CONCATENATE("R2C",'Mapa final'!#REF!),"")</f>
        <v>#REF!</v>
      </c>
      <c r="P37" s="65" t="str">
        <f>IF(AND('Mapa final'!$Y$34="Baja",'Mapa final'!$AA$34="Menor"),CONCATENATE("R2C",'Mapa final'!$O$34),"")</f>
        <v/>
      </c>
      <c r="Q37" s="66" t="e">
        <f>IF(AND('Mapa final'!#REF!="Baja",'Mapa final'!#REF!="Menor"),CONCATENATE("R2C",'Mapa final'!#REF!),"")</f>
        <v>#REF!</v>
      </c>
      <c r="R37" s="66" t="e">
        <f>IF(AND('Mapa final'!#REF!="Baja",'Mapa final'!#REF!="Menor"),CONCATENATE("R2C",'Mapa final'!#REF!),"")</f>
        <v>#REF!</v>
      </c>
      <c r="S37" s="66" t="e">
        <f>IF(AND('Mapa final'!#REF!="Baja",'Mapa final'!#REF!="Menor"),CONCATENATE("R2C",'Mapa final'!#REF!),"")</f>
        <v>#REF!</v>
      </c>
      <c r="T37" s="66" t="e">
        <f>IF(AND('Mapa final'!#REF!="Baja",'Mapa final'!#REF!="Menor"),CONCATENATE("R2C",'Mapa final'!#REF!),"")</f>
        <v>#REF!</v>
      </c>
      <c r="U37" s="67" t="e">
        <f>IF(AND('Mapa final'!#REF!="Baja",'Mapa final'!#REF!="Menor"),CONCATENATE("R2C",'Mapa final'!#REF!),"")</f>
        <v>#REF!</v>
      </c>
      <c r="V37" s="65" t="str">
        <f>IF(AND('Mapa final'!$Y$34="Baja",'Mapa final'!$AA$34="Moderado"),CONCATENATE("R2C",'Mapa final'!$O$34),"")</f>
        <v/>
      </c>
      <c r="W37" s="66" t="e">
        <f>IF(AND('Mapa final'!#REF!="Baja",'Mapa final'!#REF!="Moderado"),CONCATENATE("R2C",'Mapa final'!#REF!),"")</f>
        <v>#REF!</v>
      </c>
      <c r="X37" s="66" t="e">
        <f>IF(AND('Mapa final'!#REF!="Baja",'Mapa final'!#REF!="Moderado"),CONCATENATE("R2C",'Mapa final'!#REF!),"")</f>
        <v>#REF!</v>
      </c>
      <c r="Y37" s="66" t="e">
        <f>IF(AND('Mapa final'!#REF!="Baja",'Mapa final'!#REF!="Moderado"),CONCATENATE("R2C",'Mapa final'!#REF!),"")</f>
        <v>#REF!</v>
      </c>
      <c r="Z37" s="66" t="e">
        <f>IF(AND('Mapa final'!#REF!="Baja",'Mapa final'!#REF!="Moderado"),CONCATENATE("R2C",'Mapa final'!#REF!),"")</f>
        <v>#REF!</v>
      </c>
      <c r="AA37" s="67" t="e">
        <f>IF(AND('Mapa final'!#REF!="Baja",'Mapa final'!#REF!="Moderado"),CONCATENATE("R2C",'Mapa final'!#REF!),"")</f>
        <v>#REF!</v>
      </c>
      <c r="AB37" s="50" t="str">
        <f>IF(AND('Mapa final'!$Y$34="Baja",'Mapa final'!$AA$34="Mayor"),CONCATENATE("R2C",'Mapa final'!$O$34),"")</f>
        <v/>
      </c>
      <c r="AC37" s="51" t="e">
        <f>IF(AND('Mapa final'!#REF!="Baja",'Mapa final'!#REF!="Mayor"),CONCATENATE("R2C",'Mapa final'!#REF!),"")</f>
        <v>#REF!</v>
      </c>
      <c r="AD37" s="51" t="e">
        <f>IF(AND('Mapa final'!#REF!="Baja",'Mapa final'!#REF!="Mayor"),CONCATENATE("R2C",'Mapa final'!#REF!),"")</f>
        <v>#REF!</v>
      </c>
      <c r="AE37" s="51" t="e">
        <f>IF(AND('Mapa final'!#REF!="Baja",'Mapa final'!#REF!="Mayor"),CONCATENATE("R2C",'Mapa final'!#REF!),"")</f>
        <v>#REF!</v>
      </c>
      <c r="AF37" s="51" t="e">
        <f>IF(AND('Mapa final'!#REF!="Baja",'Mapa final'!#REF!="Mayor"),CONCATENATE("R2C",'Mapa final'!#REF!),"")</f>
        <v>#REF!</v>
      </c>
      <c r="AG37" s="52" t="e">
        <f>IF(AND('Mapa final'!#REF!="Baja",'Mapa final'!#REF!="Mayor"),CONCATENATE("R2C",'Mapa final'!#REF!),"")</f>
        <v>#REF!</v>
      </c>
      <c r="AH37" s="53" t="str">
        <f>IF(AND('Mapa final'!$Y$34="Baja",'Mapa final'!$AA$34="Catastrófico"),CONCATENATE("R2C",'Mapa final'!$O$34),"")</f>
        <v/>
      </c>
      <c r="AI37" s="54" t="e">
        <f>IF(AND('Mapa final'!#REF!="Baja",'Mapa final'!#REF!="Catastrófico"),CONCATENATE("R2C",'Mapa final'!#REF!),"")</f>
        <v>#REF!</v>
      </c>
      <c r="AJ37" s="54" t="e">
        <f>IF(AND('Mapa final'!#REF!="Baja",'Mapa final'!#REF!="Catastrófico"),CONCATENATE("R2C",'Mapa final'!#REF!),"")</f>
        <v>#REF!</v>
      </c>
      <c r="AK37" s="54" t="e">
        <f>IF(AND('Mapa final'!#REF!="Baja",'Mapa final'!#REF!="Catastrófico"),CONCATENATE("R2C",'Mapa final'!#REF!),"")</f>
        <v>#REF!</v>
      </c>
      <c r="AL37" s="54" t="e">
        <f>IF(AND('Mapa final'!#REF!="Baja",'Mapa final'!#REF!="Catastrófico"),CONCATENATE("R2C",'Mapa final'!#REF!),"")</f>
        <v>#REF!</v>
      </c>
      <c r="AM37" s="55" t="e">
        <f>IF(AND('Mapa final'!#REF!="Baja",'Mapa final'!#REF!="Catastrófico"),CONCATENATE("R2C",'Mapa final'!#REF!),"")</f>
        <v>#REF!</v>
      </c>
      <c r="AN37" s="81"/>
      <c r="AO37" s="473"/>
      <c r="AP37" s="474"/>
      <c r="AQ37" s="474"/>
      <c r="AR37" s="474"/>
      <c r="AS37" s="474"/>
      <c r="AT37" s="475"/>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354"/>
      <c r="C38" s="354"/>
      <c r="D38" s="355"/>
      <c r="E38" s="453"/>
      <c r="F38" s="452"/>
      <c r="G38" s="452"/>
      <c r="H38" s="452"/>
      <c r="I38" s="452"/>
      <c r="J38" s="74" t="str">
        <f>IF(AND('Mapa final'!$Y$35="Baja",'Mapa final'!$AA$35="Leve"),CONCATENATE("R3C",'Mapa final'!$O$35),"")</f>
        <v/>
      </c>
      <c r="K38" s="75" t="e">
        <f>IF(AND('Mapa final'!#REF!="Baja",'Mapa final'!#REF!="Leve"),CONCATENATE("R3C",'Mapa final'!#REF!),"")</f>
        <v>#REF!</v>
      </c>
      <c r="L38" s="75" t="e">
        <f>IF(AND('Mapa final'!#REF!="Baja",'Mapa final'!#REF!="Leve"),CONCATENATE("R3C",'Mapa final'!#REF!),"")</f>
        <v>#REF!</v>
      </c>
      <c r="M38" s="75" t="e">
        <f>IF(AND('Mapa final'!#REF!="Baja",'Mapa final'!#REF!="Leve"),CONCATENATE("R3C",'Mapa final'!#REF!),"")</f>
        <v>#REF!</v>
      </c>
      <c r="N38" s="75" t="e">
        <f>IF(AND('Mapa final'!#REF!="Baja",'Mapa final'!#REF!="Leve"),CONCATENATE("R3C",'Mapa final'!#REF!),"")</f>
        <v>#REF!</v>
      </c>
      <c r="O38" s="76" t="e">
        <f>IF(AND('Mapa final'!#REF!="Baja",'Mapa final'!#REF!="Leve"),CONCATENATE("R3C",'Mapa final'!#REF!),"")</f>
        <v>#REF!</v>
      </c>
      <c r="P38" s="65" t="str">
        <f>IF(AND('Mapa final'!$Y$35="Baja",'Mapa final'!$AA$35="Menor"),CONCATENATE("R3C",'Mapa final'!$O$35),"")</f>
        <v/>
      </c>
      <c r="Q38" s="66" t="e">
        <f>IF(AND('Mapa final'!#REF!="Baja",'Mapa final'!#REF!="Menor"),CONCATENATE("R3C",'Mapa final'!#REF!),"")</f>
        <v>#REF!</v>
      </c>
      <c r="R38" s="66" t="e">
        <f>IF(AND('Mapa final'!#REF!="Baja",'Mapa final'!#REF!="Menor"),CONCATENATE("R3C",'Mapa final'!#REF!),"")</f>
        <v>#REF!</v>
      </c>
      <c r="S38" s="66" t="e">
        <f>IF(AND('Mapa final'!#REF!="Baja",'Mapa final'!#REF!="Menor"),CONCATENATE("R3C",'Mapa final'!#REF!),"")</f>
        <v>#REF!</v>
      </c>
      <c r="T38" s="66" t="e">
        <f>IF(AND('Mapa final'!#REF!="Baja",'Mapa final'!#REF!="Menor"),CONCATENATE("R3C",'Mapa final'!#REF!),"")</f>
        <v>#REF!</v>
      </c>
      <c r="U38" s="67" t="e">
        <f>IF(AND('Mapa final'!#REF!="Baja",'Mapa final'!#REF!="Menor"),CONCATENATE("R3C",'Mapa final'!#REF!),"")</f>
        <v>#REF!</v>
      </c>
      <c r="V38" s="65" t="str">
        <f>IF(AND('Mapa final'!$Y$35="Baja",'Mapa final'!$AA$35="Moderado"),CONCATENATE("R3C",'Mapa final'!$O$35),"")</f>
        <v>R3C1</v>
      </c>
      <c r="W38" s="66" t="e">
        <f>IF(AND('Mapa final'!#REF!="Baja",'Mapa final'!#REF!="Moderado"),CONCATENATE("R3C",'Mapa final'!#REF!),"")</f>
        <v>#REF!</v>
      </c>
      <c r="X38" s="66" t="e">
        <f>IF(AND('Mapa final'!#REF!="Baja",'Mapa final'!#REF!="Moderado"),CONCATENATE("R3C",'Mapa final'!#REF!),"")</f>
        <v>#REF!</v>
      </c>
      <c r="Y38" s="66" t="e">
        <f>IF(AND('Mapa final'!#REF!="Baja",'Mapa final'!#REF!="Moderado"),CONCATENATE("R3C",'Mapa final'!#REF!),"")</f>
        <v>#REF!</v>
      </c>
      <c r="Z38" s="66" t="e">
        <f>IF(AND('Mapa final'!#REF!="Baja",'Mapa final'!#REF!="Moderado"),CONCATENATE("R3C",'Mapa final'!#REF!),"")</f>
        <v>#REF!</v>
      </c>
      <c r="AA38" s="67" t="e">
        <f>IF(AND('Mapa final'!#REF!="Baja",'Mapa final'!#REF!="Moderado"),CONCATENATE("R3C",'Mapa final'!#REF!),"")</f>
        <v>#REF!</v>
      </c>
      <c r="AB38" s="50" t="str">
        <f>IF(AND('Mapa final'!$Y$35="Baja",'Mapa final'!$AA$35="Mayor"),CONCATENATE("R3C",'Mapa final'!$O$35),"")</f>
        <v/>
      </c>
      <c r="AC38" s="51" t="e">
        <f>IF(AND('Mapa final'!#REF!="Baja",'Mapa final'!#REF!="Mayor"),CONCATENATE("R3C",'Mapa final'!#REF!),"")</f>
        <v>#REF!</v>
      </c>
      <c r="AD38" s="51" t="e">
        <f>IF(AND('Mapa final'!#REF!="Baja",'Mapa final'!#REF!="Mayor"),CONCATENATE("R3C",'Mapa final'!#REF!),"")</f>
        <v>#REF!</v>
      </c>
      <c r="AE38" s="51" t="e">
        <f>IF(AND('Mapa final'!#REF!="Baja",'Mapa final'!#REF!="Mayor"),CONCATENATE("R3C",'Mapa final'!#REF!),"")</f>
        <v>#REF!</v>
      </c>
      <c r="AF38" s="51" t="e">
        <f>IF(AND('Mapa final'!#REF!="Baja",'Mapa final'!#REF!="Mayor"),CONCATENATE("R3C",'Mapa final'!#REF!),"")</f>
        <v>#REF!</v>
      </c>
      <c r="AG38" s="52" t="e">
        <f>IF(AND('Mapa final'!#REF!="Baja",'Mapa final'!#REF!="Mayor"),CONCATENATE("R3C",'Mapa final'!#REF!),"")</f>
        <v>#REF!</v>
      </c>
      <c r="AH38" s="53" t="str">
        <f>IF(AND('Mapa final'!$Y$35="Baja",'Mapa final'!$AA$35="Catastrófico"),CONCATENATE("R3C",'Mapa final'!$O$35),"")</f>
        <v/>
      </c>
      <c r="AI38" s="54" t="e">
        <f>IF(AND('Mapa final'!#REF!="Baja",'Mapa final'!#REF!="Catastrófico"),CONCATENATE("R3C",'Mapa final'!#REF!),"")</f>
        <v>#REF!</v>
      </c>
      <c r="AJ38" s="54" t="e">
        <f>IF(AND('Mapa final'!#REF!="Baja",'Mapa final'!#REF!="Catastrófico"),CONCATENATE("R3C",'Mapa final'!#REF!),"")</f>
        <v>#REF!</v>
      </c>
      <c r="AK38" s="54" t="e">
        <f>IF(AND('Mapa final'!#REF!="Baja",'Mapa final'!#REF!="Catastrófico"),CONCATENATE("R3C",'Mapa final'!#REF!),"")</f>
        <v>#REF!</v>
      </c>
      <c r="AL38" s="54" t="e">
        <f>IF(AND('Mapa final'!#REF!="Baja",'Mapa final'!#REF!="Catastrófico"),CONCATENATE("R3C",'Mapa final'!#REF!),"")</f>
        <v>#REF!</v>
      </c>
      <c r="AM38" s="55" t="e">
        <f>IF(AND('Mapa final'!#REF!="Baja",'Mapa final'!#REF!="Catastrófico"),CONCATENATE("R3C",'Mapa final'!#REF!),"")</f>
        <v>#REF!</v>
      </c>
      <c r="AN38" s="81"/>
      <c r="AO38" s="473"/>
      <c r="AP38" s="474"/>
      <c r="AQ38" s="474"/>
      <c r="AR38" s="474"/>
      <c r="AS38" s="474"/>
      <c r="AT38" s="475"/>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354"/>
      <c r="C39" s="354"/>
      <c r="D39" s="355"/>
      <c r="E39" s="453"/>
      <c r="F39" s="452"/>
      <c r="G39" s="452"/>
      <c r="H39" s="452"/>
      <c r="I39" s="452"/>
      <c r="J39" s="74" t="str">
        <f>IF(AND('Mapa final'!$Y$36="Baja",'Mapa final'!$AA$36="Leve"),CONCATENATE("R4C",'Mapa final'!$O$36),"")</f>
        <v/>
      </c>
      <c r="K39" s="75" t="e">
        <f>IF(AND('Mapa final'!#REF!="Baja",'Mapa final'!#REF!="Leve"),CONCATENATE("R4C",'Mapa final'!#REF!),"")</f>
        <v>#REF!</v>
      </c>
      <c r="L39" s="75" t="e">
        <f>IF(AND('Mapa final'!#REF!="Baja",'Mapa final'!#REF!="Leve"),CONCATENATE("R4C",'Mapa final'!#REF!),"")</f>
        <v>#REF!</v>
      </c>
      <c r="M39" s="75" t="e">
        <f>IF(AND('Mapa final'!#REF!="Baja",'Mapa final'!#REF!="Leve"),CONCATENATE("R4C",'Mapa final'!#REF!),"")</f>
        <v>#REF!</v>
      </c>
      <c r="N39" s="75" t="e">
        <f>IF(AND('Mapa final'!#REF!="Baja",'Mapa final'!#REF!="Leve"),CONCATENATE("R4C",'Mapa final'!#REF!),"")</f>
        <v>#REF!</v>
      </c>
      <c r="O39" s="76" t="e">
        <f>IF(AND('Mapa final'!#REF!="Baja",'Mapa final'!#REF!="Leve"),CONCATENATE("R4C",'Mapa final'!#REF!),"")</f>
        <v>#REF!</v>
      </c>
      <c r="P39" s="65" t="str">
        <f>IF(AND('Mapa final'!$Y$36="Baja",'Mapa final'!$AA$36="Menor"),CONCATENATE("R4C",'Mapa final'!$O$36),"")</f>
        <v/>
      </c>
      <c r="Q39" s="66" t="e">
        <f>IF(AND('Mapa final'!#REF!="Baja",'Mapa final'!#REF!="Menor"),CONCATENATE("R4C",'Mapa final'!#REF!),"")</f>
        <v>#REF!</v>
      </c>
      <c r="R39" s="66" t="e">
        <f>IF(AND('Mapa final'!#REF!="Baja",'Mapa final'!#REF!="Menor"),CONCATENATE("R4C",'Mapa final'!#REF!),"")</f>
        <v>#REF!</v>
      </c>
      <c r="S39" s="66" t="e">
        <f>IF(AND('Mapa final'!#REF!="Baja",'Mapa final'!#REF!="Menor"),CONCATENATE("R4C",'Mapa final'!#REF!),"")</f>
        <v>#REF!</v>
      </c>
      <c r="T39" s="66" t="e">
        <f>IF(AND('Mapa final'!#REF!="Baja",'Mapa final'!#REF!="Menor"),CONCATENATE("R4C",'Mapa final'!#REF!),"")</f>
        <v>#REF!</v>
      </c>
      <c r="U39" s="67" t="e">
        <f>IF(AND('Mapa final'!#REF!="Baja",'Mapa final'!#REF!="Menor"),CONCATENATE("R4C",'Mapa final'!#REF!),"")</f>
        <v>#REF!</v>
      </c>
      <c r="V39" s="65" t="str">
        <f>IF(AND('Mapa final'!$Y$36="Baja",'Mapa final'!$AA$36="Moderado"),CONCATENATE("R4C",'Mapa final'!$O$36),"")</f>
        <v/>
      </c>
      <c r="W39" s="66" t="e">
        <f>IF(AND('Mapa final'!#REF!="Baja",'Mapa final'!#REF!="Moderado"),CONCATENATE("R4C",'Mapa final'!#REF!),"")</f>
        <v>#REF!</v>
      </c>
      <c r="X39" s="66" t="e">
        <f>IF(AND('Mapa final'!#REF!="Baja",'Mapa final'!#REF!="Moderado"),CONCATENATE("R4C",'Mapa final'!#REF!),"")</f>
        <v>#REF!</v>
      </c>
      <c r="Y39" s="66" t="e">
        <f>IF(AND('Mapa final'!#REF!="Baja",'Mapa final'!#REF!="Moderado"),CONCATENATE("R4C",'Mapa final'!#REF!),"")</f>
        <v>#REF!</v>
      </c>
      <c r="Z39" s="66" t="e">
        <f>IF(AND('Mapa final'!#REF!="Baja",'Mapa final'!#REF!="Moderado"),CONCATENATE("R4C",'Mapa final'!#REF!),"")</f>
        <v>#REF!</v>
      </c>
      <c r="AA39" s="67" t="e">
        <f>IF(AND('Mapa final'!#REF!="Baja",'Mapa final'!#REF!="Moderado"),CONCATENATE("R4C",'Mapa final'!#REF!),"")</f>
        <v>#REF!</v>
      </c>
      <c r="AB39" s="50" t="str">
        <f>IF(AND('Mapa final'!$Y$36="Baja",'Mapa final'!$AA$36="Mayor"),CONCATENATE("R4C",'Mapa final'!$O$36),"")</f>
        <v/>
      </c>
      <c r="AC39" s="51" t="e">
        <f>IF(AND('Mapa final'!#REF!="Baja",'Mapa final'!#REF!="Mayor"),CONCATENATE("R4C",'Mapa final'!#REF!),"")</f>
        <v>#REF!</v>
      </c>
      <c r="AD39" s="51" t="e">
        <f>IF(AND('Mapa final'!#REF!="Baja",'Mapa final'!#REF!="Mayor"),CONCATENATE("R4C",'Mapa final'!#REF!),"")</f>
        <v>#REF!</v>
      </c>
      <c r="AE39" s="51" t="e">
        <f>IF(AND('Mapa final'!#REF!="Baja",'Mapa final'!#REF!="Mayor"),CONCATENATE("R4C",'Mapa final'!#REF!),"")</f>
        <v>#REF!</v>
      </c>
      <c r="AF39" s="51" t="e">
        <f>IF(AND('Mapa final'!#REF!="Baja",'Mapa final'!#REF!="Mayor"),CONCATENATE("R4C",'Mapa final'!#REF!),"")</f>
        <v>#REF!</v>
      </c>
      <c r="AG39" s="52" t="e">
        <f>IF(AND('Mapa final'!#REF!="Baja",'Mapa final'!#REF!="Mayor"),CONCATENATE("R4C",'Mapa final'!#REF!),"")</f>
        <v>#REF!</v>
      </c>
      <c r="AH39" s="53" t="str">
        <f>IF(AND('Mapa final'!$Y$36="Baja",'Mapa final'!$AA$36="Catastrófico"),CONCATENATE("R4C",'Mapa final'!$O$36),"")</f>
        <v/>
      </c>
      <c r="AI39" s="54" t="e">
        <f>IF(AND('Mapa final'!#REF!="Baja",'Mapa final'!#REF!="Catastrófico"),CONCATENATE("R4C",'Mapa final'!#REF!),"")</f>
        <v>#REF!</v>
      </c>
      <c r="AJ39" s="54" t="e">
        <f>IF(AND('Mapa final'!#REF!="Baja",'Mapa final'!#REF!="Catastrófico"),CONCATENATE("R4C",'Mapa final'!#REF!),"")</f>
        <v>#REF!</v>
      </c>
      <c r="AK39" s="54" t="e">
        <f>IF(AND('Mapa final'!#REF!="Baja",'Mapa final'!#REF!="Catastrófico"),CONCATENATE("R4C",'Mapa final'!#REF!),"")</f>
        <v>#REF!</v>
      </c>
      <c r="AL39" s="54" t="e">
        <f>IF(AND('Mapa final'!#REF!="Baja",'Mapa final'!#REF!="Catastrófico"),CONCATENATE("R4C",'Mapa final'!#REF!),"")</f>
        <v>#REF!</v>
      </c>
      <c r="AM39" s="55" t="e">
        <f>IF(AND('Mapa final'!#REF!="Baja",'Mapa final'!#REF!="Catastrófico"),CONCATENATE("R4C",'Mapa final'!#REF!),"")</f>
        <v>#REF!</v>
      </c>
      <c r="AN39" s="81"/>
      <c r="AO39" s="473"/>
      <c r="AP39" s="474"/>
      <c r="AQ39" s="474"/>
      <c r="AR39" s="474"/>
      <c r="AS39" s="474"/>
      <c r="AT39" s="475"/>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354"/>
      <c r="C40" s="354"/>
      <c r="D40" s="355"/>
      <c r="E40" s="453"/>
      <c r="F40" s="452"/>
      <c r="G40" s="452"/>
      <c r="H40" s="452"/>
      <c r="I40" s="452"/>
      <c r="J40" s="74" t="str">
        <f>IF(AND('Mapa final'!$Y$37="Baja",'Mapa final'!$AA$37="Leve"),CONCATENATE("R5C",'Mapa final'!$O$37),"")</f>
        <v/>
      </c>
      <c r="K40" s="75" t="e">
        <f>IF(AND('Mapa final'!#REF!="Baja",'Mapa final'!#REF!="Leve"),CONCATENATE("R5C",'Mapa final'!#REF!),"")</f>
        <v>#REF!</v>
      </c>
      <c r="L40" s="75" t="e">
        <f>IF(AND('Mapa final'!#REF!="Baja",'Mapa final'!#REF!="Leve"),CONCATENATE("R5C",'Mapa final'!#REF!),"")</f>
        <v>#REF!</v>
      </c>
      <c r="M40" s="75" t="e">
        <f>IF(AND('Mapa final'!#REF!="Baja",'Mapa final'!#REF!="Leve"),CONCATENATE("R5C",'Mapa final'!#REF!),"")</f>
        <v>#REF!</v>
      </c>
      <c r="N40" s="75" t="e">
        <f>IF(AND('Mapa final'!#REF!="Baja",'Mapa final'!#REF!="Leve"),CONCATENATE("R5C",'Mapa final'!#REF!),"")</f>
        <v>#REF!</v>
      </c>
      <c r="O40" s="76" t="e">
        <f>IF(AND('Mapa final'!#REF!="Baja",'Mapa final'!#REF!="Leve"),CONCATENATE("R5C",'Mapa final'!#REF!),"")</f>
        <v>#REF!</v>
      </c>
      <c r="P40" s="65" t="str">
        <f>IF(AND('Mapa final'!$Y$37="Baja",'Mapa final'!$AA$37="Menor"),CONCATENATE("R5C",'Mapa final'!$O$37),"")</f>
        <v/>
      </c>
      <c r="Q40" s="66" t="e">
        <f>IF(AND('Mapa final'!#REF!="Baja",'Mapa final'!#REF!="Menor"),CONCATENATE("R5C",'Mapa final'!#REF!),"")</f>
        <v>#REF!</v>
      </c>
      <c r="R40" s="66" t="e">
        <f>IF(AND('Mapa final'!#REF!="Baja",'Mapa final'!#REF!="Menor"),CONCATENATE("R5C",'Mapa final'!#REF!),"")</f>
        <v>#REF!</v>
      </c>
      <c r="S40" s="66" t="e">
        <f>IF(AND('Mapa final'!#REF!="Baja",'Mapa final'!#REF!="Menor"),CONCATENATE("R5C",'Mapa final'!#REF!),"")</f>
        <v>#REF!</v>
      </c>
      <c r="T40" s="66" t="e">
        <f>IF(AND('Mapa final'!#REF!="Baja",'Mapa final'!#REF!="Menor"),CONCATENATE("R5C",'Mapa final'!#REF!),"")</f>
        <v>#REF!</v>
      </c>
      <c r="U40" s="67" t="e">
        <f>IF(AND('Mapa final'!#REF!="Baja",'Mapa final'!#REF!="Menor"),CONCATENATE("R5C",'Mapa final'!#REF!),"")</f>
        <v>#REF!</v>
      </c>
      <c r="V40" s="65" t="str">
        <f>IF(AND('Mapa final'!$Y$37="Baja",'Mapa final'!$AA$37="Moderado"),CONCATENATE("R5C",'Mapa final'!$O$37),"")</f>
        <v/>
      </c>
      <c r="W40" s="66" t="e">
        <f>IF(AND('Mapa final'!#REF!="Baja",'Mapa final'!#REF!="Moderado"),CONCATENATE("R5C",'Mapa final'!#REF!),"")</f>
        <v>#REF!</v>
      </c>
      <c r="X40" s="66" t="e">
        <f>IF(AND('Mapa final'!#REF!="Baja",'Mapa final'!#REF!="Moderado"),CONCATENATE("R5C",'Mapa final'!#REF!),"")</f>
        <v>#REF!</v>
      </c>
      <c r="Y40" s="66" t="e">
        <f>IF(AND('Mapa final'!#REF!="Baja",'Mapa final'!#REF!="Moderado"),CONCATENATE("R5C",'Mapa final'!#REF!),"")</f>
        <v>#REF!</v>
      </c>
      <c r="Z40" s="66" t="e">
        <f>IF(AND('Mapa final'!#REF!="Baja",'Mapa final'!#REF!="Moderado"),CONCATENATE("R5C",'Mapa final'!#REF!),"")</f>
        <v>#REF!</v>
      </c>
      <c r="AA40" s="67" t="e">
        <f>IF(AND('Mapa final'!#REF!="Baja",'Mapa final'!#REF!="Moderado"),CONCATENATE("R5C",'Mapa final'!#REF!),"")</f>
        <v>#REF!</v>
      </c>
      <c r="AB40" s="50" t="str">
        <f>IF(AND('Mapa final'!$Y$37="Baja",'Mapa final'!$AA$37="Mayor"),CONCATENATE("R5C",'Mapa final'!$O$37),"")</f>
        <v/>
      </c>
      <c r="AC40" s="51" t="e">
        <f>IF(AND('Mapa final'!#REF!="Baja",'Mapa final'!#REF!="Mayor"),CONCATENATE("R5C",'Mapa final'!#REF!),"")</f>
        <v>#REF!</v>
      </c>
      <c r="AD40" s="51" t="e">
        <f>IF(AND('Mapa final'!#REF!="Baja",'Mapa final'!#REF!="Mayor"),CONCATENATE("R5C",'Mapa final'!#REF!),"")</f>
        <v>#REF!</v>
      </c>
      <c r="AE40" s="51" t="e">
        <f>IF(AND('Mapa final'!#REF!="Baja",'Mapa final'!#REF!="Mayor"),CONCATENATE("R5C",'Mapa final'!#REF!),"")</f>
        <v>#REF!</v>
      </c>
      <c r="AF40" s="51" t="e">
        <f>IF(AND('Mapa final'!#REF!="Baja",'Mapa final'!#REF!="Mayor"),CONCATENATE("R5C",'Mapa final'!#REF!),"")</f>
        <v>#REF!</v>
      </c>
      <c r="AG40" s="52" t="e">
        <f>IF(AND('Mapa final'!#REF!="Baja",'Mapa final'!#REF!="Mayor"),CONCATENATE("R5C",'Mapa final'!#REF!),"")</f>
        <v>#REF!</v>
      </c>
      <c r="AH40" s="53" t="str">
        <f>IF(AND('Mapa final'!$Y$37="Baja",'Mapa final'!$AA$37="Catastrófico"),CONCATENATE("R5C",'Mapa final'!$O$37),"")</f>
        <v/>
      </c>
      <c r="AI40" s="54" t="e">
        <f>IF(AND('Mapa final'!#REF!="Baja",'Mapa final'!#REF!="Catastrófico"),CONCATENATE("R5C",'Mapa final'!#REF!),"")</f>
        <v>#REF!</v>
      </c>
      <c r="AJ40" s="54" t="e">
        <f>IF(AND('Mapa final'!#REF!="Baja",'Mapa final'!#REF!="Catastrófico"),CONCATENATE("R5C",'Mapa final'!#REF!),"")</f>
        <v>#REF!</v>
      </c>
      <c r="AK40" s="54" t="e">
        <f>IF(AND('Mapa final'!#REF!="Baja",'Mapa final'!#REF!="Catastrófico"),CONCATENATE("R5C",'Mapa final'!#REF!),"")</f>
        <v>#REF!</v>
      </c>
      <c r="AL40" s="54" t="e">
        <f>IF(AND('Mapa final'!#REF!="Baja",'Mapa final'!#REF!="Catastrófico"),CONCATENATE("R5C",'Mapa final'!#REF!),"")</f>
        <v>#REF!</v>
      </c>
      <c r="AM40" s="55" t="e">
        <f>IF(AND('Mapa final'!#REF!="Baja",'Mapa final'!#REF!="Catastrófico"),CONCATENATE("R5C",'Mapa final'!#REF!),"")</f>
        <v>#REF!</v>
      </c>
      <c r="AN40" s="81"/>
      <c r="AO40" s="473"/>
      <c r="AP40" s="474"/>
      <c r="AQ40" s="474"/>
      <c r="AR40" s="474"/>
      <c r="AS40" s="474"/>
      <c r="AT40" s="475"/>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354"/>
      <c r="C41" s="354"/>
      <c r="D41" s="355"/>
      <c r="E41" s="453"/>
      <c r="F41" s="452"/>
      <c r="G41" s="452"/>
      <c r="H41" s="452"/>
      <c r="I41" s="452"/>
      <c r="J41" s="74" t="e">
        <f>IF(AND('Mapa final'!#REF!="Baja",'Mapa final'!#REF!="Leve"),CONCATENATE("R6C",'Mapa final'!#REF!),"")</f>
        <v>#REF!</v>
      </c>
      <c r="K41" s="75" t="e">
        <f>IF(AND('Mapa final'!#REF!="Baja",'Mapa final'!#REF!="Leve"),CONCATENATE("R6C",'Mapa final'!#REF!),"")</f>
        <v>#REF!</v>
      </c>
      <c r="L41" s="75" t="e">
        <f>IF(AND('Mapa final'!#REF!="Baja",'Mapa final'!#REF!="Leve"),CONCATENATE("R6C",'Mapa final'!#REF!),"")</f>
        <v>#REF!</v>
      </c>
      <c r="M41" s="75" t="e">
        <f>IF(AND('Mapa final'!#REF!="Baja",'Mapa final'!#REF!="Leve"),CONCATENATE("R6C",'Mapa final'!#REF!),"")</f>
        <v>#REF!</v>
      </c>
      <c r="N41" s="75" t="e">
        <f>IF(AND('Mapa final'!#REF!="Baja",'Mapa final'!#REF!="Leve"),CONCATENATE("R6C",'Mapa final'!#REF!),"")</f>
        <v>#REF!</v>
      </c>
      <c r="O41" s="76" t="e">
        <f>IF(AND('Mapa final'!#REF!="Baja",'Mapa final'!#REF!="Leve"),CONCATENATE("R6C",'Mapa final'!#REF!),"")</f>
        <v>#REF!</v>
      </c>
      <c r="P41" s="65" t="e">
        <f>IF(AND('Mapa final'!#REF!="Baja",'Mapa final'!#REF!="Menor"),CONCATENATE("R6C",'Mapa final'!#REF!),"")</f>
        <v>#REF!</v>
      </c>
      <c r="Q41" s="66" t="e">
        <f>IF(AND('Mapa final'!#REF!="Baja",'Mapa final'!#REF!="Menor"),CONCATENATE("R6C",'Mapa final'!#REF!),"")</f>
        <v>#REF!</v>
      </c>
      <c r="R41" s="66" t="e">
        <f>IF(AND('Mapa final'!#REF!="Baja",'Mapa final'!#REF!="Menor"),CONCATENATE("R6C",'Mapa final'!#REF!),"")</f>
        <v>#REF!</v>
      </c>
      <c r="S41" s="66" t="e">
        <f>IF(AND('Mapa final'!#REF!="Baja",'Mapa final'!#REF!="Menor"),CONCATENATE("R6C",'Mapa final'!#REF!),"")</f>
        <v>#REF!</v>
      </c>
      <c r="T41" s="66" t="e">
        <f>IF(AND('Mapa final'!#REF!="Baja",'Mapa final'!#REF!="Menor"),CONCATENATE("R6C",'Mapa final'!#REF!),"")</f>
        <v>#REF!</v>
      </c>
      <c r="U41" s="67" t="e">
        <f>IF(AND('Mapa final'!#REF!="Baja",'Mapa final'!#REF!="Menor"),CONCATENATE("R6C",'Mapa final'!#REF!),"")</f>
        <v>#REF!</v>
      </c>
      <c r="V41" s="65" t="e">
        <f>IF(AND('Mapa final'!#REF!="Baja",'Mapa final'!#REF!="Moderado"),CONCATENATE("R6C",'Mapa final'!#REF!),"")</f>
        <v>#REF!</v>
      </c>
      <c r="W41" s="66" t="e">
        <f>IF(AND('Mapa final'!#REF!="Baja",'Mapa final'!#REF!="Moderado"),CONCATENATE("R6C",'Mapa final'!#REF!),"")</f>
        <v>#REF!</v>
      </c>
      <c r="X41" s="66" t="e">
        <f>IF(AND('Mapa final'!#REF!="Baja",'Mapa final'!#REF!="Moderado"),CONCATENATE("R6C",'Mapa final'!#REF!),"")</f>
        <v>#REF!</v>
      </c>
      <c r="Y41" s="66" t="e">
        <f>IF(AND('Mapa final'!#REF!="Baja",'Mapa final'!#REF!="Moderado"),CONCATENATE("R6C",'Mapa final'!#REF!),"")</f>
        <v>#REF!</v>
      </c>
      <c r="Z41" s="66" t="e">
        <f>IF(AND('Mapa final'!#REF!="Baja",'Mapa final'!#REF!="Moderado"),CONCATENATE("R6C",'Mapa final'!#REF!),"")</f>
        <v>#REF!</v>
      </c>
      <c r="AA41" s="67" t="e">
        <f>IF(AND('Mapa final'!#REF!="Baja",'Mapa final'!#REF!="Moderado"),CONCATENATE("R6C",'Mapa final'!#REF!),"")</f>
        <v>#REF!</v>
      </c>
      <c r="AB41" s="50" t="e">
        <f>IF(AND('Mapa final'!#REF!="Baja",'Mapa final'!#REF!="Mayor"),CONCATENATE("R6C",'Mapa final'!#REF!),"")</f>
        <v>#REF!</v>
      </c>
      <c r="AC41" s="51" t="e">
        <f>IF(AND('Mapa final'!#REF!="Baja",'Mapa final'!#REF!="Mayor"),CONCATENATE("R6C",'Mapa final'!#REF!),"")</f>
        <v>#REF!</v>
      </c>
      <c r="AD41" s="51" t="e">
        <f>IF(AND('Mapa final'!#REF!="Baja",'Mapa final'!#REF!="Mayor"),CONCATENATE("R6C",'Mapa final'!#REF!),"")</f>
        <v>#REF!</v>
      </c>
      <c r="AE41" s="51" t="e">
        <f>IF(AND('Mapa final'!#REF!="Baja",'Mapa final'!#REF!="Mayor"),CONCATENATE("R6C",'Mapa final'!#REF!),"")</f>
        <v>#REF!</v>
      </c>
      <c r="AF41" s="51" t="e">
        <f>IF(AND('Mapa final'!#REF!="Baja",'Mapa final'!#REF!="Mayor"),CONCATENATE("R6C",'Mapa final'!#REF!),"")</f>
        <v>#REF!</v>
      </c>
      <c r="AG41" s="52" t="e">
        <f>IF(AND('Mapa final'!#REF!="Baja",'Mapa final'!#REF!="Mayor"),CONCATENATE("R6C",'Mapa final'!#REF!),"")</f>
        <v>#REF!</v>
      </c>
      <c r="AH41" s="53" t="e">
        <f>IF(AND('Mapa final'!#REF!="Baja",'Mapa final'!#REF!="Catastrófico"),CONCATENATE("R6C",'Mapa final'!#REF!),"")</f>
        <v>#REF!</v>
      </c>
      <c r="AI41" s="54" t="e">
        <f>IF(AND('Mapa final'!#REF!="Baja",'Mapa final'!#REF!="Catastrófico"),CONCATENATE("R6C",'Mapa final'!#REF!),"")</f>
        <v>#REF!</v>
      </c>
      <c r="AJ41" s="54" t="e">
        <f>IF(AND('Mapa final'!#REF!="Baja",'Mapa final'!#REF!="Catastrófico"),CONCATENATE("R6C",'Mapa final'!#REF!),"")</f>
        <v>#REF!</v>
      </c>
      <c r="AK41" s="54" t="e">
        <f>IF(AND('Mapa final'!#REF!="Baja",'Mapa final'!#REF!="Catastrófico"),CONCATENATE("R6C",'Mapa final'!#REF!),"")</f>
        <v>#REF!</v>
      </c>
      <c r="AL41" s="54" t="e">
        <f>IF(AND('Mapa final'!#REF!="Baja",'Mapa final'!#REF!="Catastrófico"),CONCATENATE("R6C",'Mapa final'!#REF!),"")</f>
        <v>#REF!</v>
      </c>
      <c r="AM41" s="55" t="e">
        <f>IF(AND('Mapa final'!#REF!="Baja",'Mapa final'!#REF!="Catastrófico"),CONCATENATE("R6C",'Mapa final'!#REF!),"")</f>
        <v>#REF!</v>
      </c>
      <c r="AN41" s="81"/>
      <c r="AO41" s="473"/>
      <c r="AP41" s="474"/>
      <c r="AQ41" s="474"/>
      <c r="AR41" s="474"/>
      <c r="AS41" s="474"/>
      <c r="AT41" s="475"/>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354"/>
      <c r="C42" s="354"/>
      <c r="D42" s="355"/>
      <c r="E42" s="453"/>
      <c r="F42" s="452"/>
      <c r="G42" s="452"/>
      <c r="H42" s="452"/>
      <c r="I42" s="452"/>
      <c r="J42" s="74" t="e">
        <f>IF(AND('Mapa final'!#REF!="Baja",'Mapa final'!#REF!="Leve"),CONCATENATE("R7C",'Mapa final'!#REF!),"")</f>
        <v>#REF!</v>
      </c>
      <c r="K42" s="75" t="e">
        <f>IF(AND('Mapa final'!#REF!="Baja",'Mapa final'!#REF!="Leve"),CONCATENATE("R7C",'Mapa final'!#REF!),"")</f>
        <v>#REF!</v>
      </c>
      <c r="L42" s="75" t="e">
        <f>IF(AND('Mapa final'!#REF!="Baja",'Mapa final'!#REF!="Leve"),CONCATENATE("R7C",'Mapa final'!#REF!),"")</f>
        <v>#REF!</v>
      </c>
      <c r="M42" s="75" t="e">
        <f>IF(AND('Mapa final'!#REF!="Baja",'Mapa final'!#REF!="Leve"),CONCATENATE("R7C",'Mapa final'!#REF!),"")</f>
        <v>#REF!</v>
      </c>
      <c r="N42" s="75" t="e">
        <f>IF(AND('Mapa final'!#REF!="Baja",'Mapa final'!#REF!="Leve"),CONCATENATE("R7C",'Mapa final'!#REF!),"")</f>
        <v>#REF!</v>
      </c>
      <c r="O42" s="76" t="e">
        <f>IF(AND('Mapa final'!#REF!="Baja",'Mapa final'!#REF!="Leve"),CONCATENATE("R7C",'Mapa final'!#REF!),"")</f>
        <v>#REF!</v>
      </c>
      <c r="P42" s="65" t="e">
        <f>IF(AND('Mapa final'!#REF!="Baja",'Mapa final'!#REF!="Menor"),CONCATENATE("R7C",'Mapa final'!#REF!),"")</f>
        <v>#REF!</v>
      </c>
      <c r="Q42" s="66" t="e">
        <f>IF(AND('Mapa final'!#REF!="Baja",'Mapa final'!#REF!="Menor"),CONCATENATE("R7C",'Mapa final'!#REF!),"")</f>
        <v>#REF!</v>
      </c>
      <c r="R42" s="66" t="e">
        <f>IF(AND('Mapa final'!#REF!="Baja",'Mapa final'!#REF!="Menor"),CONCATENATE("R7C",'Mapa final'!#REF!),"")</f>
        <v>#REF!</v>
      </c>
      <c r="S42" s="66" t="e">
        <f>IF(AND('Mapa final'!#REF!="Baja",'Mapa final'!#REF!="Menor"),CONCATENATE("R7C",'Mapa final'!#REF!),"")</f>
        <v>#REF!</v>
      </c>
      <c r="T42" s="66" t="e">
        <f>IF(AND('Mapa final'!#REF!="Baja",'Mapa final'!#REF!="Menor"),CONCATENATE("R7C",'Mapa final'!#REF!),"")</f>
        <v>#REF!</v>
      </c>
      <c r="U42" s="67" t="e">
        <f>IF(AND('Mapa final'!#REF!="Baja",'Mapa final'!#REF!="Menor"),CONCATENATE("R7C",'Mapa final'!#REF!),"")</f>
        <v>#REF!</v>
      </c>
      <c r="V42" s="65" t="e">
        <f>IF(AND('Mapa final'!#REF!="Baja",'Mapa final'!#REF!="Moderado"),CONCATENATE("R7C",'Mapa final'!#REF!),"")</f>
        <v>#REF!</v>
      </c>
      <c r="W42" s="66" t="e">
        <f>IF(AND('Mapa final'!#REF!="Baja",'Mapa final'!#REF!="Moderado"),CONCATENATE("R7C",'Mapa final'!#REF!),"")</f>
        <v>#REF!</v>
      </c>
      <c r="X42" s="66" t="e">
        <f>IF(AND('Mapa final'!#REF!="Baja",'Mapa final'!#REF!="Moderado"),CONCATENATE("R7C",'Mapa final'!#REF!),"")</f>
        <v>#REF!</v>
      </c>
      <c r="Y42" s="66" t="e">
        <f>IF(AND('Mapa final'!#REF!="Baja",'Mapa final'!#REF!="Moderado"),CONCATENATE("R7C",'Mapa final'!#REF!),"")</f>
        <v>#REF!</v>
      </c>
      <c r="Z42" s="66" t="e">
        <f>IF(AND('Mapa final'!#REF!="Baja",'Mapa final'!#REF!="Moderado"),CONCATENATE("R7C",'Mapa final'!#REF!),"")</f>
        <v>#REF!</v>
      </c>
      <c r="AA42" s="67" t="e">
        <f>IF(AND('Mapa final'!#REF!="Baja",'Mapa final'!#REF!="Moderado"),CONCATENATE("R7C",'Mapa final'!#REF!),"")</f>
        <v>#REF!</v>
      </c>
      <c r="AB42" s="50" t="e">
        <f>IF(AND('Mapa final'!#REF!="Baja",'Mapa final'!#REF!="Mayor"),CONCATENATE("R7C",'Mapa final'!#REF!),"")</f>
        <v>#REF!</v>
      </c>
      <c r="AC42" s="51" t="e">
        <f>IF(AND('Mapa final'!#REF!="Baja",'Mapa final'!#REF!="Mayor"),CONCATENATE("R7C",'Mapa final'!#REF!),"")</f>
        <v>#REF!</v>
      </c>
      <c r="AD42" s="51" t="e">
        <f>IF(AND('Mapa final'!#REF!="Baja",'Mapa final'!#REF!="Mayor"),CONCATENATE("R7C",'Mapa final'!#REF!),"")</f>
        <v>#REF!</v>
      </c>
      <c r="AE42" s="51" t="e">
        <f>IF(AND('Mapa final'!#REF!="Baja",'Mapa final'!#REF!="Mayor"),CONCATENATE("R7C",'Mapa final'!#REF!),"")</f>
        <v>#REF!</v>
      </c>
      <c r="AF42" s="51" t="e">
        <f>IF(AND('Mapa final'!#REF!="Baja",'Mapa final'!#REF!="Mayor"),CONCATENATE("R7C",'Mapa final'!#REF!),"")</f>
        <v>#REF!</v>
      </c>
      <c r="AG42" s="52" t="e">
        <f>IF(AND('Mapa final'!#REF!="Baja",'Mapa final'!#REF!="Mayor"),CONCATENATE("R7C",'Mapa final'!#REF!),"")</f>
        <v>#REF!</v>
      </c>
      <c r="AH42" s="53" t="e">
        <f>IF(AND('Mapa final'!#REF!="Baja",'Mapa final'!#REF!="Catastrófico"),CONCATENATE("R7C",'Mapa final'!#REF!),"")</f>
        <v>#REF!</v>
      </c>
      <c r="AI42" s="54" t="e">
        <f>IF(AND('Mapa final'!#REF!="Baja",'Mapa final'!#REF!="Catastrófico"),CONCATENATE("R7C",'Mapa final'!#REF!),"")</f>
        <v>#REF!</v>
      </c>
      <c r="AJ42" s="54" t="e">
        <f>IF(AND('Mapa final'!#REF!="Baja",'Mapa final'!#REF!="Catastrófico"),CONCATENATE("R7C",'Mapa final'!#REF!),"")</f>
        <v>#REF!</v>
      </c>
      <c r="AK42" s="54" t="e">
        <f>IF(AND('Mapa final'!#REF!="Baja",'Mapa final'!#REF!="Catastrófico"),CONCATENATE("R7C",'Mapa final'!#REF!),"")</f>
        <v>#REF!</v>
      </c>
      <c r="AL42" s="54" t="e">
        <f>IF(AND('Mapa final'!#REF!="Baja",'Mapa final'!#REF!="Catastrófico"),CONCATENATE("R7C",'Mapa final'!#REF!),"")</f>
        <v>#REF!</v>
      </c>
      <c r="AM42" s="55" t="e">
        <f>IF(AND('Mapa final'!#REF!="Baja",'Mapa final'!#REF!="Catastrófico"),CONCATENATE("R7C",'Mapa final'!#REF!),"")</f>
        <v>#REF!</v>
      </c>
      <c r="AN42" s="81"/>
      <c r="AO42" s="473"/>
      <c r="AP42" s="474"/>
      <c r="AQ42" s="474"/>
      <c r="AR42" s="474"/>
      <c r="AS42" s="474"/>
      <c r="AT42" s="475"/>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354"/>
      <c r="C43" s="354"/>
      <c r="D43" s="355"/>
      <c r="E43" s="453"/>
      <c r="F43" s="452"/>
      <c r="G43" s="452"/>
      <c r="H43" s="452"/>
      <c r="I43" s="452"/>
      <c r="J43" s="74" t="str">
        <f>IF(AND('Mapa final'!$Y$38="Baja",'Mapa final'!$AA$38="Leve"),CONCATENATE("R8C",'Mapa final'!$O$38),"")</f>
        <v/>
      </c>
      <c r="K43" s="75" t="str">
        <f>IF(AND('Mapa final'!$Y$39="Baja",'Mapa final'!$AA$39="Leve"),CONCATENATE("R8C",'Mapa final'!$O$39),"")</f>
        <v/>
      </c>
      <c r="L43" s="75" t="str">
        <f>IF(AND('Mapa final'!$Y$40="Baja",'Mapa final'!$AA$40="Leve"),CONCATENATE("R8C",'Mapa final'!$O$40),"")</f>
        <v/>
      </c>
      <c r="M43" s="75" t="str">
        <f>IF(AND('Mapa final'!$Y$41="Baja",'Mapa final'!$AA$41="Leve"),CONCATENATE("R8C",'Mapa final'!$O$41),"")</f>
        <v/>
      </c>
      <c r="N43" s="75" t="str">
        <f>IF(AND('Mapa final'!$Y$42="Baja",'Mapa final'!$AA$42="Leve"),CONCATENATE("R8C",'Mapa final'!$O$42),"")</f>
        <v/>
      </c>
      <c r="O43" s="76" t="str">
        <f>IF(AND('Mapa final'!$Y$43="Baja",'Mapa final'!$AA$43="Leve"),CONCATENATE("R8C",'Mapa final'!$O$43),"")</f>
        <v/>
      </c>
      <c r="P43" s="65" t="str">
        <f>IF(AND('Mapa final'!$Y$38="Baja",'Mapa final'!$AA$38="Menor"),CONCATENATE("R8C",'Mapa final'!$O$38),"")</f>
        <v/>
      </c>
      <c r="Q43" s="66" t="str">
        <f>IF(AND('Mapa final'!$Y$39="Baja",'Mapa final'!$AA$39="Menor"),CONCATENATE("R8C",'Mapa final'!$O$39),"")</f>
        <v/>
      </c>
      <c r="R43" s="66" t="str">
        <f>IF(AND('Mapa final'!$Y$40="Baja",'Mapa final'!$AA$40="Menor"),CONCATENATE("R8C",'Mapa final'!$O$40),"")</f>
        <v/>
      </c>
      <c r="S43" s="66" t="str">
        <f>IF(AND('Mapa final'!$Y$41="Baja",'Mapa final'!$AA$41="Menor"),CONCATENATE("R8C",'Mapa final'!$O$41),"")</f>
        <v/>
      </c>
      <c r="T43" s="66" t="str">
        <f>IF(AND('Mapa final'!$Y$42="Baja",'Mapa final'!$AA$42="Menor"),CONCATENATE("R8C",'Mapa final'!$O$42),"")</f>
        <v/>
      </c>
      <c r="U43" s="67" t="str">
        <f>IF(AND('Mapa final'!$Y$43="Baja",'Mapa final'!$AA$43="Menor"),CONCATENATE("R8C",'Mapa final'!$O$43),"")</f>
        <v/>
      </c>
      <c r="V43" s="65" t="str">
        <f>IF(AND('Mapa final'!$Y$38="Baja",'Mapa final'!$AA$38="Moderado"),CONCATENATE("R8C",'Mapa final'!$O$38),"")</f>
        <v/>
      </c>
      <c r="W43" s="66" t="str">
        <f>IF(AND('Mapa final'!$Y$39="Baja",'Mapa final'!$AA$39="Moderado"),CONCATENATE("R8C",'Mapa final'!$O$39),"")</f>
        <v/>
      </c>
      <c r="X43" s="66" t="str">
        <f>IF(AND('Mapa final'!$Y$40="Baja",'Mapa final'!$AA$40="Moderado"),CONCATENATE("R8C",'Mapa final'!$O$40),"")</f>
        <v/>
      </c>
      <c r="Y43" s="66" t="str">
        <f>IF(AND('Mapa final'!$Y$41="Baja",'Mapa final'!$AA$41="Moderado"),CONCATENATE("R8C",'Mapa final'!$O$41),"")</f>
        <v/>
      </c>
      <c r="Z43" s="66" t="str">
        <f>IF(AND('Mapa final'!$Y$42="Baja",'Mapa final'!$AA$42="Moderado"),CONCATENATE("R8C",'Mapa final'!$O$42),"")</f>
        <v/>
      </c>
      <c r="AA43" s="67" t="str">
        <f>IF(AND('Mapa final'!$Y$43="Baja",'Mapa final'!$AA$43="Moderado"),CONCATENATE("R8C",'Mapa final'!$O$43),"")</f>
        <v/>
      </c>
      <c r="AB43" s="50" t="str">
        <f>IF(AND('Mapa final'!$Y$38="Baja",'Mapa final'!$AA$38="Mayor"),CONCATENATE("R8C",'Mapa final'!$O$38),"")</f>
        <v/>
      </c>
      <c r="AC43" s="51" t="str">
        <f>IF(AND('Mapa final'!$Y$39="Baja",'Mapa final'!$AA$39="Mayor"),CONCATENATE("R8C",'Mapa final'!$O$39),"")</f>
        <v/>
      </c>
      <c r="AD43" s="51" t="str">
        <f>IF(AND('Mapa final'!$Y$40="Baja",'Mapa final'!$AA$40="Mayor"),CONCATENATE("R8C",'Mapa final'!$O$40),"")</f>
        <v/>
      </c>
      <c r="AE43" s="51" t="str">
        <f>IF(AND('Mapa final'!$Y$41="Baja",'Mapa final'!$AA$41="Mayor"),CONCATENATE("R8C",'Mapa final'!$O$41),"")</f>
        <v/>
      </c>
      <c r="AF43" s="51" t="str">
        <f>IF(AND('Mapa final'!$Y$42="Baja",'Mapa final'!$AA$42="Mayor"),CONCATENATE("R8C",'Mapa final'!$O$42),"")</f>
        <v/>
      </c>
      <c r="AG43" s="52" t="str">
        <f>IF(AND('Mapa final'!$Y$43="Baja",'Mapa final'!$AA$43="Mayor"),CONCATENATE("R8C",'Mapa final'!$O$43),"")</f>
        <v/>
      </c>
      <c r="AH43" s="53" t="str">
        <f>IF(AND('Mapa final'!$Y$38="Baja",'Mapa final'!$AA$38="Catastrófico"),CONCATENATE("R8C",'Mapa final'!$O$38),"")</f>
        <v/>
      </c>
      <c r="AI43" s="54" t="str">
        <f>IF(AND('Mapa final'!$Y$39="Baja",'Mapa final'!$AA$39="Catastrófico"),CONCATENATE("R8C",'Mapa final'!$O$39),"")</f>
        <v/>
      </c>
      <c r="AJ43" s="54" t="str">
        <f>IF(AND('Mapa final'!$Y$40="Baja",'Mapa final'!$AA$40="Catastrófico"),CONCATENATE("R8C",'Mapa final'!$O$40),"")</f>
        <v/>
      </c>
      <c r="AK43" s="54" t="str">
        <f>IF(AND('Mapa final'!$Y$41="Baja",'Mapa final'!$AA$41="Catastrófico"),CONCATENATE("R8C",'Mapa final'!$O$41),"")</f>
        <v/>
      </c>
      <c r="AL43" s="54" t="str">
        <f>IF(AND('Mapa final'!$Y$42="Baja",'Mapa final'!$AA$42="Catastrófico"),CONCATENATE("R8C",'Mapa final'!$O$42),"")</f>
        <v/>
      </c>
      <c r="AM43" s="55" t="str">
        <f>IF(AND('Mapa final'!$Y$43="Baja",'Mapa final'!$AA$43="Catastrófico"),CONCATENATE("R8C",'Mapa final'!$O$43),"")</f>
        <v/>
      </c>
      <c r="AN43" s="81"/>
      <c r="AO43" s="473"/>
      <c r="AP43" s="474"/>
      <c r="AQ43" s="474"/>
      <c r="AR43" s="474"/>
      <c r="AS43" s="474"/>
      <c r="AT43" s="475"/>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354"/>
      <c r="C44" s="354"/>
      <c r="D44" s="355"/>
      <c r="E44" s="453"/>
      <c r="F44" s="452"/>
      <c r="G44" s="452"/>
      <c r="H44" s="452"/>
      <c r="I44" s="452"/>
      <c r="J44" s="74" t="str">
        <f>IF(AND('Mapa final'!$Y$44="Baja",'Mapa final'!$AA$44="Leve"),CONCATENATE("R9C",'Mapa final'!$O$44),"")</f>
        <v/>
      </c>
      <c r="K44" s="75" t="str">
        <f>IF(AND('Mapa final'!$Y$45="Baja",'Mapa final'!$AA$45="Leve"),CONCATENATE("R9C",'Mapa final'!$O$45),"")</f>
        <v/>
      </c>
      <c r="L44" s="75" t="str">
        <f>IF(AND('Mapa final'!$Y$46="Baja",'Mapa final'!$AA$46="Leve"),CONCATENATE("R9C",'Mapa final'!$O$46),"")</f>
        <v/>
      </c>
      <c r="M44" s="75" t="str">
        <f>IF(AND('Mapa final'!$Y$47="Baja",'Mapa final'!$AA$47="Leve"),CONCATENATE("R9C",'Mapa final'!$O$47),"")</f>
        <v/>
      </c>
      <c r="N44" s="75" t="str">
        <f>IF(AND('Mapa final'!$Y$48="Baja",'Mapa final'!$AA$48="Leve"),CONCATENATE("R9C",'Mapa final'!$O$48),"")</f>
        <v/>
      </c>
      <c r="O44" s="76" t="str">
        <f>IF(AND('Mapa final'!$Y$49="Baja",'Mapa final'!$AA$49="Leve"),CONCATENATE("R9C",'Mapa final'!$O$49),"")</f>
        <v/>
      </c>
      <c r="P44" s="65" t="str">
        <f>IF(AND('Mapa final'!$Y$44="Baja",'Mapa final'!$AA$44="Menor"),CONCATENATE("R9C",'Mapa final'!$O$44),"")</f>
        <v/>
      </c>
      <c r="Q44" s="66" t="str">
        <f>IF(AND('Mapa final'!$Y$45="Baja",'Mapa final'!$AA$45="Menor"),CONCATENATE("R9C",'Mapa final'!$O$45),"")</f>
        <v/>
      </c>
      <c r="R44" s="66" t="str">
        <f>IF(AND('Mapa final'!$Y$46="Baja",'Mapa final'!$AA$46="Menor"),CONCATENATE("R9C",'Mapa final'!$O$46),"")</f>
        <v/>
      </c>
      <c r="S44" s="66" t="str">
        <f>IF(AND('Mapa final'!$Y$47="Baja",'Mapa final'!$AA$47="Menor"),CONCATENATE("R9C",'Mapa final'!$O$47),"")</f>
        <v/>
      </c>
      <c r="T44" s="66" t="str">
        <f>IF(AND('Mapa final'!$Y$48="Baja",'Mapa final'!$AA$48="Menor"),CONCATENATE("R9C",'Mapa final'!$O$48),"")</f>
        <v/>
      </c>
      <c r="U44" s="67" t="str">
        <f>IF(AND('Mapa final'!$Y$49="Baja",'Mapa final'!$AA$49="Menor"),CONCATENATE("R9C",'Mapa final'!$O$49),"")</f>
        <v/>
      </c>
      <c r="V44" s="65" t="str">
        <f>IF(AND('Mapa final'!$Y$44="Baja",'Mapa final'!$AA$44="Moderado"),CONCATENATE("R9C",'Mapa final'!$O$44),"")</f>
        <v/>
      </c>
      <c r="W44" s="66" t="str">
        <f>IF(AND('Mapa final'!$Y$45="Baja",'Mapa final'!$AA$45="Moderado"),CONCATENATE("R9C",'Mapa final'!$O$45),"")</f>
        <v/>
      </c>
      <c r="X44" s="66" t="str">
        <f>IF(AND('Mapa final'!$Y$46="Baja",'Mapa final'!$AA$46="Moderado"),CONCATENATE("R9C",'Mapa final'!$O$46),"")</f>
        <v/>
      </c>
      <c r="Y44" s="66" t="str">
        <f>IF(AND('Mapa final'!$Y$47="Baja",'Mapa final'!$AA$47="Moderado"),CONCATENATE("R9C",'Mapa final'!$O$47),"")</f>
        <v/>
      </c>
      <c r="Z44" s="66" t="str">
        <f>IF(AND('Mapa final'!$Y$48="Baja",'Mapa final'!$AA$48="Moderado"),CONCATENATE("R9C",'Mapa final'!$O$48),"")</f>
        <v/>
      </c>
      <c r="AA44" s="67" t="str">
        <f>IF(AND('Mapa final'!$Y$49="Baja",'Mapa final'!$AA$49="Moderado"),CONCATENATE("R9C",'Mapa final'!$O$49),"")</f>
        <v/>
      </c>
      <c r="AB44" s="50" t="str">
        <f>IF(AND('Mapa final'!$Y$44="Baja",'Mapa final'!$AA$44="Mayor"),CONCATENATE("R9C",'Mapa final'!$O$44),"")</f>
        <v/>
      </c>
      <c r="AC44" s="51" t="str">
        <f>IF(AND('Mapa final'!$Y$45="Baja",'Mapa final'!$AA$45="Mayor"),CONCATENATE("R9C",'Mapa final'!$O$45),"")</f>
        <v/>
      </c>
      <c r="AD44" s="51" t="str">
        <f>IF(AND('Mapa final'!$Y$46="Baja",'Mapa final'!$AA$46="Mayor"),CONCATENATE("R9C",'Mapa final'!$O$46),"")</f>
        <v/>
      </c>
      <c r="AE44" s="51" t="str">
        <f>IF(AND('Mapa final'!$Y$47="Baja",'Mapa final'!$AA$47="Mayor"),CONCATENATE("R9C",'Mapa final'!$O$47),"")</f>
        <v/>
      </c>
      <c r="AF44" s="51" t="str">
        <f>IF(AND('Mapa final'!$Y$48="Baja",'Mapa final'!$AA$48="Mayor"),CONCATENATE("R9C",'Mapa final'!$O$48),"")</f>
        <v/>
      </c>
      <c r="AG44" s="52" t="str">
        <f>IF(AND('Mapa final'!$Y$49="Baja",'Mapa final'!$AA$49="Mayor"),CONCATENATE("R9C",'Mapa final'!$O$49),"")</f>
        <v/>
      </c>
      <c r="AH44" s="53" t="str">
        <f>IF(AND('Mapa final'!$Y$44="Baja",'Mapa final'!$AA$44="Catastrófico"),CONCATENATE("R9C",'Mapa final'!$O$44),"")</f>
        <v/>
      </c>
      <c r="AI44" s="54" t="str">
        <f>IF(AND('Mapa final'!$Y$45="Baja",'Mapa final'!$AA$45="Catastrófico"),CONCATENATE("R9C",'Mapa final'!$O$45),"")</f>
        <v/>
      </c>
      <c r="AJ44" s="54" t="str">
        <f>IF(AND('Mapa final'!$Y$46="Baja",'Mapa final'!$AA$46="Catastrófico"),CONCATENATE("R9C",'Mapa final'!$O$46),"")</f>
        <v/>
      </c>
      <c r="AK44" s="54" t="str">
        <f>IF(AND('Mapa final'!$Y$47="Baja",'Mapa final'!$AA$47="Catastrófico"),CONCATENATE("R9C",'Mapa final'!$O$47),"")</f>
        <v/>
      </c>
      <c r="AL44" s="54" t="str">
        <f>IF(AND('Mapa final'!$Y$48="Baja",'Mapa final'!$AA$48="Catastrófico"),CONCATENATE("R9C",'Mapa final'!$O$48),"")</f>
        <v/>
      </c>
      <c r="AM44" s="55" t="str">
        <f>IF(AND('Mapa final'!$Y$49="Baja",'Mapa final'!$AA$49="Catastrófico"),CONCATENATE("R9C",'Mapa final'!$O$49),"")</f>
        <v/>
      </c>
      <c r="AN44" s="81"/>
      <c r="AO44" s="473"/>
      <c r="AP44" s="474"/>
      <c r="AQ44" s="474"/>
      <c r="AR44" s="474"/>
      <c r="AS44" s="474"/>
      <c r="AT44" s="475"/>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354"/>
      <c r="C45" s="354"/>
      <c r="D45" s="355"/>
      <c r="E45" s="454"/>
      <c r="F45" s="455"/>
      <c r="G45" s="455"/>
      <c r="H45" s="455"/>
      <c r="I45" s="455"/>
      <c r="J45" s="77" t="str">
        <f>IF(AND('Mapa final'!$Y$50="Baja",'Mapa final'!$AA$50="Leve"),CONCATENATE("R10C",'Mapa final'!$O$50),"")</f>
        <v/>
      </c>
      <c r="K45" s="78" t="str">
        <f>IF(AND('Mapa final'!$Y$51="Baja",'Mapa final'!$AA$51="Leve"),CONCATENATE("R10C",'Mapa final'!$O$51),"")</f>
        <v/>
      </c>
      <c r="L45" s="78" t="str">
        <f>IF(AND('Mapa final'!$Y$52="Baja",'Mapa final'!$AA$52="Leve"),CONCATENATE("R10C",'Mapa final'!$O$52),"")</f>
        <v/>
      </c>
      <c r="M45" s="78" t="str">
        <f>IF(AND('Mapa final'!$Y$53="Baja",'Mapa final'!$AA$53="Leve"),CONCATENATE("R10C",'Mapa final'!$O$53),"")</f>
        <v/>
      </c>
      <c r="N45" s="78" t="str">
        <f>IF(AND('Mapa final'!$Y$54="Baja",'Mapa final'!$AA$54="Leve"),CONCATENATE("R10C",'Mapa final'!$O$54),"")</f>
        <v/>
      </c>
      <c r="O45" s="79" t="e">
        <f>IF(AND('Mapa final'!#REF!="Baja",'Mapa final'!#REF!="Leve"),CONCATENATE("R10C",'Mapa final'!#REF!),"")</f>
        <v>#REF!</v>
      </c>
      <c r="P45" s="65" t="str">
        <f>IF(AND('Mapa final'!$Y$50="Baja",'Mapa final'!$AA$50="Menor"),CONCATENATE("R10C",'Mapa final'!$O$50),"")</f>
        <v/>
      </c>
      <c r="Q45" s="66" t="str">
        <f>IF(AND('Mapa final'!$Y$51="Baja",'Mapa final'!$AA$51="Menor"),CONCATENATE("R10C",'Mapa final'!$O$51),"")</f>
        <v/>
      </c>
      <c r="R45" s="66" t="str">
        <f>IF(AND('Mapa final'!$Y$52="Baja",'Mapa final'!$AA$52="Menor"),CONCATENATE("R10C",'Mapa final'!$O$52),"")</f>
        <v/>
      </c>
      <c r="S45" s="66" t="str">
        <f>IF(AND('Mapa final'!$Y$53="Baja",'Mapa final'!$AA$53="Menor"),CONCATENATE("R10C",'Mapa final'!$O$53),"")</f>
        <v/>
      </c>
      <c r="T45" s="66" t="str">
        <f>IF(AND('Mapa final'!$Y$54="Baja",'Mapa final'!$AA$54="Menor"),CONCATENATE("R10C",'Mapa final'!$O$54),"")</f>
        <v/>
      </c>
      <c r="U45" s="67" t="e">
        <f>IF(AND('Mapa final'!#REF!="Baja",'Mapa final'!#REF!="Menor"),CONCATENATE("R10C",'Mapa final'!#REF!),"")</f>
        <v>#REF!</v>
      </c>
      <c r="V45" s="68" t="str">
        <f>IF(AND('Mapa final'!$Y$50="Baja",'Mapa final'!$AA$50="Moderado"),CONCATENATE("R10C",'Mapa final'!$O$50),"")</f>
        <v/>
      </c>
      <c r="W45" s="69" t="str">
        <f>IF(AND('Mapa final'!$Y$51="Baja",'Mapa final'!$AA$51="Moderado"),CONCATENATE("R10C",'Mapa final'!$O$51),"")</f>
        <v/>
      </c>
      <c r="X45" s="69" t="str">
        <f>IF(AND('Mapa final'!$Y$52="Baja",'Mapa final'!$AA$52="Moderado"),CONCATENATE("R10C",'Mapa final'!$O$52),"")</f>
        <v/>
      </c>
      <c r="Y45" s="69" t="str">
        <f>IF(AND('Mapa final'!$Y$53="Baja",'Mapa final'!$AA$53="Moderado"),CONCATENATE("R10C",'Mapa final'!$O$53),"")</f>
        <v/>
      </c>
      <c r="Z45" s="69" t="str">
        <f>IF(AND('Mapa final'!$Y$54="Baja",'Mapa final'!$AA$54="Moderado"),CONCATENATE("R10C",'Mapa final'!$O$54),"")</f>
        <v/>
      </c>
      <c r="AA45" s="70" t="e">
        <f>IF(AND('Mapa final'!#REF!="Baja",'Mapa final'!#REF!="Moderado"),CONCATENATE("R10C",'Mapa final'!#REF!),"")</f>
        <v>#REF!</v>
      </c>
      <c r="AB45" s="56" t="str">
        <f>IF(AND('Mapa final'!$Y$50="Baja",'Mapa final'!$AA$50="Mayor"),CONCATENATE("R10C",'Mapa final'!$O$50),"")</f>
        <v/>
      </c>
      <c r="AC45" s="57" t="str">
        <f>IF(AND('Mapa final'!$Y$51="Baja",'Mapa final'!$AA$51="Mayor"),CONCATENATE("R10C",'Mapa final'!$O$51),"")</f>
        <v/>
      </c>
      <c r="AD45" s="57" t="str">
        <f>IF(AND('Mapa final'!$Y$52="Baja",'Mapa final'!$AA$52="Mayor"),CONCATENATE("R10C",'Mapa final'!$O$52),"")</f>
        <v/>
      </c>
      <c r="AE45" s="57" t="str">
        <f>IF(AND('Mapa final'!$Y$53="Baja",'Mapa final'!$AA$53="Mayor"),CONCATENATE("R10C",'Mapa final'!$O$53),"")</f>
        <v/>
      </c>
      <c r="AF45" s="57" t="str">
        <f>IF(AND('Mapa final'!$Y$54="Baja",'Mapa final'!$AA$54="Mayor"),CONCATENATE("R10C",'Mapa final'!$O$54),"")</f>
        <v/>
      </c>
      <c r="AG45" s="58" t="e">
        <f>IF(AND('Mapa final'!#REF!="Baja",'Mapa final'!#REF!="Mayor"),CONCATENATE("R10C",'Mapa final'!#REF!),"")</f>
        <v>#REF!</v>
      </c>
      <c r="AH45" s="59" t="str">
        <f>IF(AND('Mapa final'!$Y$50="Baja",'Mapa final'!$AA$50="Catastrófico"),CONCATENATE("R10C",'Mapa final'!$O$50),"")</f>
        <v/>
      </c>
      <c r="AI45" s="60" t="str">
        <f>IF(AND('Mapa final'!$Y$51="Baja",'Mapa final'!$AA$51="Catastrófico"),CONCATENATE("R10C",'Mapa final'!$O$51),"")</f>
        <v/>
      </c>
      <c r="AJ45" s="60" t="str">
        <f>IF(AND('Mapa final'!$Y$52="Baja",'Mapa final'!$AA$52="Catastrófico"),CONCATENATE("R10C",'Mapa final'!$O$52),"")</f>
        <v/>
      </c>
      <c r="AK45" s="60" t="str">
        <f>IF(AND('Mapa final'!$Y$53="Baja",'Mapa final'!$AA$53="Catastrófico"),CONCATENATE("R10C",'Mapa final'!$O$53),"")</f>
        <v/>
      </c>
      <c r="AL45" s="60" t="str">
        <f>IF(AND('Mapa final'!$Y$54="Baja",'Mapa final'!$AA$54="Catastrófico"),CONCATENATE("R10C",'Mapa final'!$O$54),"")</f>
        <v/>
      </c>
      <c r="AM45" s="61" t="e">
        <f>IF(AND('Mapa final'!#REF!="Baja",'Mapa final'!#REF!="Catastrófico"),CONCATENATE("R10C",'Mapa final'!#REF!),"")</f>
        <v>#REF!</v>
      </c>
      <c r="AN45" s="81"/>
      <c r="AO45" s="476"/>
      <c r="AP45" s="477"/>
      <c r="AQ45" s="477"/>
      <c r="AR45" s="477"/>
      <c r="AS45" s="477"/>
      <c r="AT45" s="478"/>
    </row>
    <row r="46" spans="1:80" ht="46.5" customHeight="1" x14ac:dyDescent="0.35">
      <c r="A46" s="81"/>
      <c r="B46" s="354"/>
      <c r="C46" s="354"/>
      <c r="D46" s="355"/>
      <c r="E46" s="449" t="s">
        <v>192</v>
      </c>
      <c r="F46" s="450"/>
      <c r="G46" s="450"/>
      <c r="H46" s="450"/>
      <c r="I46" s="467"/>
      <c r="J46" s="71" t="str">
        <f>IF(AND('Mapa final'!$Y$32="Muy Baja",'Mapa final'!$AA$32="Leve"),CONCATENATE("R1C",'Mapa final'!$O$32),"")</f>
        <v/>
      </c>
      <c r="K46" s="72" t="str">
        <f>IF(AND('Mapa final'!$Y$33="Muy Baja",'Mapa final'!$AA$33="Leve"),CONCATENATE("R1C",'Mapa final'!$O$33),"")</f>
        <v/>
      </c>
      <c r="L46" s="72" t="e">
        <f>IF(AND('Mapa final'!#REF!="Muy Baja",'Mapa final'!#REF!="Leve"),CONCATENATE("R1C",'Mapa final'!#REF!),"")</f>
        <v>#REF!</v>
      </c>
      <c r="M46" s="72" t="e">
        <f>IF(AND('Mapa final'!#REF!="Muy Baja",'Mapa final'!#REF!="Leve"),CONCATENATE("R1C",'Mapa final'!#REF!),"")</f>
        <v>#REF!</v>
      </c>
      <c r="N46" s="72" t="e">
        <f>IF(AND('Mapa final'!#REF!="Muy Baja",'Mapa final'!#REF!="Leve"),CONCATENATE("R1C",'Mapa final'!#REF!),"")</f>
        <v>#REF!</v>
      </c>
      <c r="O46" s="73" t="e">
        <f>IF(AND('Mapa final'!#REF!="Muy Baja",'Mapa final'!#REF!="Leve"),CONCATENATE("R1C",'Mapa final'!#REF!),"")</f>
        <v>#REF!</v>
      </c>
      <c r="P46" s="71" t="str">
        <f>IF(AND('Mapa final'!$Y$32="Muy Baja",'Mapa final'!$AA$32="Menor"),CONCATENATE("R1C",'Mapa final'!$O$32),"")</f>
        <v>R1C1</v>
      </c>
      <c r="Q46" s="72" t="str">
        <f>IF(AND('Mapa final'!$Y$33="Muy Baja",'Mapa final'!$AA$33="Menor"),CONCATENATE("R1C",'Mapa final'!$O$33),"")</f>
        <v>R1C2</v>
      </c>
      <c r="R46" s="72" t="e">
        <f>IF(AND('Mapa final'!#REF!="Muy Baja",'Mapa final'!#REF!="Menor"),CONCATENATE("R1C",'Mapa final'!#REF!),"")</f>
        <v>#REF!</v>
      </c>
      <c r="S46" s="72" t="e">
        <f>IF(AND('Mapa final'!#REF!="Muy Baja",'Mapa final'!#REF!="Menor"),CONCATENATE("R1C",'Mapa final'!#REF!),"")</f>
        <v>#REF!</v>
      </c>
      <c r="T46" s="72" t="e">
        <f>IF(AND('Mapa final'!#REF!="Muy Baja",'Mapa final'!#REF!="Menor"),CONCATENATE("R1C",'Mapa final'!#REF!),"")</f>
        <v>#REF!</v>
      </c>
      <c r="U46" s="73" t="e">
        <f>IF(AND('Mapa final'!#REF!="Muy Baja",'Mapa final'!#REF!="Menor"),CONCATENATE("R1C",'Mapa final'!#REF!),"")</f>
        <v>#REF!</v>
      </c>
      <c r="V46" s="62" t="str">
        <f>IF(AND('Mapa final'!$Y$32="Muy Baja",'Mapa final'!$AA$32="Moderado"),CONCATENATE("R1C",'Mapa final'!$O$32),"")</f>
        <v/>
      </c>
      <c r="W46" s="80" t="str">
        <f>IF(AND('Mapa final'!$Y$33="Muy Baja",'Mapa final'!$AA$33="Moderado"),CONCATENATE("R1C",'Mapa final'!$O$33),"")</f>
        <v/>
      </c>
      <c r="X46" s="63" t="e">
        <f>IF(AND('Mapa final'!#REF!="Muy Baja",'Mapa final'!#REF!="Moderado"),CONCATENATE("R1C",'Mapa final'!#REF!),"")</f>
        <v>#REF!</v>
      </c>
      <c r="Y46" s="63" t="e">
        <f>IF(AND('Mapa final'!#REF!="Muy Baja",'Mapa final'!#REF!="Moderado"),CONCATENATE("R1C",'Mapa final'!#REF!),"")</f>
        <v>#REF!</v>
      </c>
      <c r="Z46" s="63" t="e">
        <f>IF(AND('Mapa final'!#REF!="Muy Baja",'Mapa final'!#REF!="Moderado"),CONCATENATE("R1C",'Mapa final'!#REF!),"")</f>
        <v>#REF!</v>
      </c>
      <c r="AA46" s="64" t="e">
        <f>IF(AND('Mapa final'!#REF!="Muy Baja",'Mapa final'!#REF!="Moderado"),CONCATENATE("R1C",'Mapa final'!#REF!),"")</f>
        <v>#REF!</v>
      </c>
      <c r="AB46" s="44" t="str">
        <f>IF(AND('Mapa final'!$Y$32="Muy Baja",'Mapa final'!$AA$32="Mayor"),CONCATENATE("R1C",'Mapa final'!$O$32),"")</f>
        <v/>
      </c>
      <c r="AC46" s="45" t="str">
        <f>IF(AND('Mapa final'!$Y$33="Muy Baja",'Mapa final'!$AA$33="Mayor"),CONCATENATE("R1C",'Mapa final'!$O$33),"")</f>
        <v/>
      </c>
      <c r="AD46" s="45" t="e">
        <f>IF(AND('Mapa final'!#REF!="Muy Baja",'Mapa final'!#REF!="Mayor"),CONCATENATE("R1C",'Mapa final'!#REF!),"")</f>
        <v>#REF!</v>
      </c>
      <c r="AE46" s="45" t="e">
        <f>IF(AND('Mapa final'!#REF!="Muy Baja",'Mapa final'!#REF!="Mayor"),CONCATENATE("R1C",'Mapa final'!#REF!),"")</f>
        <v>#REF!</v>
      </c>
      <c r="AF46" s="45" t="e">
        <f>IF(AND('Mapa final'!#REF!="Muy Baja",'Mapa final'!#REF!="Mayor"),CONCATENATE("R1C",'Mapa final'!#REF!),"")</f>
        <v>#REF!</v>
      </c>
      <c r="AG46" s="46" t="e">
        <f>IF(AND('Mapa final'!#REF!="Muy Baja",'Mapa final'!#REF!="Mayor"),CONCATENATE("R1C",'Mapa final'!#REF!),"")</f>
        <v>#REF!</v>
      </c>
      <c r="AH46" s="47" t="str">
        <f>IF(AND('Mapa final'!$Y$32="Muy Baja",'Mapa final'!$AA$32="Catastrófico"),CONCATENATE("R1C",'Mapa final'!$O$32),"")</f>
        <v/>
      </c>
      <c r="AI46" s="48" t="str">
        <f>IF(AND('Mapa final'!$Y$33="Muy Baja",'Mapa final'!$AA$33="Catastrófico"),CONCATENATE("R1C",'Mapa final'!$O$33),"")</f>
        <v/>
      </c>
      <c r="AJ46" s="48" t="e">
        <f>IF(AND('Mapa final'!#REF!="Muy Baja",'Mapa final'!#REF!="Catastrófico"),CONCATENATE("R1C",'Mapa final'!#REF!),"")</f>
        <v>#REF!</v>
      </c>
      <c r="AK46" s="48" t="e">
        <f>IF(AND('Mapa final'!#REF!="Muy Baja",'Mapa final'!#REF!="Catastrófico"),CONCATENATE("R1C",'Mapa final'!#REF!),"")</f>
        <v>#REF!</v>
      </c>
      <c r="AL46" s="48" t="e">
        <f>IF(AND('Mapa final'!#REF!="Muy Baja",'Mapa final'!#REF!="Catastrófico"),CONCATENATE("R1C",'Mapa final'!#REF!),"")</f>
        <v>#REF!</v>
      </c>
      <c r="AM46" s="49" t="e">
        <f>IF(AND('Mapa final'!#REF!="Muy Baja",'Mapa final'!#REF!="Catastrófico"),CONCATENATE("R1C",'Mapa final'!#REF!),"")</f>
        <v>#REF!</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354"/>
      <c r="C47" s="354"/>
      <c r="D47" s="355"/>
      <c r="E47" s="451"/>
      <c r="F47" s="452"/>
      <c r="G47" s="452"/>
      <c r="H47" s="452"/>
      <c r="I47" s="468"/>
      <c r="J47" s="74" t="str">
        <f>IF(AND('Mapa final'!$Y$34="Muy Baja",'Mapa final'!$AA$34="Leve"),CONCATENATE("R2C",'Mapa final'!$O$34),"")</f>
        <v/>
      </c>
      <c r="K47" s="75" t="e">
        <f>IF(AND('Mapa final'!#REF!="Muy Baja",'Mapa final'!#REF!="Leve"),CONCATENATE("R2C",'Mapa final'!#REF!),"")</f>
        <v>#REF!</v>
      </c>
      <c r="L47" s="75" t="e">
        <f>IF(AND('Mapa final'!#REF!="Muy Baja",'Mapa final'!#REF!="Leve"),CONCATENATE("R2C",'Mapa final'!#REF!),"")</f>
        <v>#REF!</v>
      </c>
      <c r="M47" s="75" t="e">
        <f>IF(AND('Mapa final'!#REF!="Muy Baja",'Mapa final'!#REF!="Leve"),CONCATENATE("R2C",'Mapa final'!#REF!),"")</f>
        <v>#REF!</v>
      </c>
      <c r="N47" s="75" t="e">
        <f>IF(AND('Mapa final'!#REF!="Muy Baja",'Mapa final'!#REF!="Leve"),CONCATENATE("R2C",'Mapa final'!#REF!),"")</f>
        <v>#REF!</v>
      </c>
      <c r="O47" s="76" t="e">
        <f>IF(AND('Mapa final'!#REF!="Muy Baja",'Mapa final'!#REF!="Leve"),CONCATENATE("R2C",'Mapa final'!#REF!),"")</f>
        <v>#REF!</v>
      </c>
      <c r="P47" s="74" t="str">
        <f>IF(AND('Mapa final'!$Y$34="Muy Baja",'Mapa final'!$AA$34="Menor"),CONCATENATE("R2C",'Mapa final'!$O$34),"")</f>
        <v/>
      </c>
      <c r="Q47" s="75" t="e">
        <f>IF(AND('Mapa final'!#REF!="Muy Baja",'Mapa final'!#REF!="Menor"),CONCATENATE("R2C",'Mapa final'!#REF!),"")</f>
        <v>#REF!</v>
      </c>
      <c r="R47" s="75" t="e">
        <f>IF(AND('Mapa final'!#REF!="Muy Baja",'Mapa final'!#REF!="Menor"),CONCATENATE("R2C",'Mapa final'!#REF!),"")</f>
        <v>#REF!</v>
      </c>
      <c r="S47" s="75" t="e">
        <f>IF(AND('Mapa final'!#REF!="Muy Baja",'Mapa final'!#REF!="Menor"),CONCATENATE("R2C",'Mapa final'!#REF!),"")</f>
        <v>#REF!</v>
      </c>
      <c r="T47" s="75" t="e">
        <f>IF(AND('Mapa final'!#REF!="Muy Baja",'Mapa final'!#REF!="Menor"),CONCATENATE("R2C",'Mapa final'!#REF!),"")</f>
        <v>#REF!</v>
      </c>
      <c r="U47" s="76" t="e">
        <f>IF(AND('Mapa final'!#REF!="Muy Baja",'Mapa final'!#REF!="Menor"),CONCATENATE("R2C",'Mapa final'!#REF!),"")</f>
        <v>#REF!</v>
      </c>
      <c r="V47" s="65" t="str">
        <f>IF(AND('Mapa final'!$Y$34="Muy Baja",'Mapa final'!$AA$34="Moderado"),CONCATENATE("R2C",'Mapa final'!$O$34),"")</f>
        <v/>
      </c>
      <c r="W47" s="66" t="e">
        <f>IF(AND('Mapa final'!#REF!="Muy Baja",'Mapa final'!#REF!="Moderado"),CONCATENATE("R2C",'Mapa final'!#REF!),"")</f>
        <v>#REF!</v>
      </c>
      <c r="X47" s="66" t="e">
        <f>IF(AND('Mapa final'!#REF!="Muy Baja",'Mapa final'!#REF!="Moderado"),CONCATENATE("R2C",'Mapa final'!#REF!),"")</f>
        <v>#REF!</v>
      </c>
      <c r="Y47" s="66" t="e">
        <f>IF(AND('Mapa final'!#REF!="Muy Baja",'Mapa final'!#REF!="Moderado"),CONCATENATE("R2C",'Mapa final'!#REF!),"")</f>
        <v>#REF!</v>
      </c>
      <c r="Z47" s="66" t="e">
        <f>IF(AND('Mapa final'!#REF!="Muy Baja",'Mapa final'!#REF!="Moderado"),CONCATENATE("R2C",'Mapa final'!#REF!),"")</f>
        <v>#REF!</v>
      </c>
      <c r="AA47" s="67" t="e">
        <f>IF(AND('Mapa final'!#REF!="Muy Baja",'Mapa final'!#REF!="Moderado"),CONCATENATE("R2C",'Mapa final'!#REF!),"")</f>
        <v>#REF!</v>
      </c>
      <c r="AB47" s="50" t="str">
        <f>IF(AND('Mapa final'!$Y$34="Muy Baja",'Mapa final'!$AA$34="Mayor"),CONCATENATE("R2C",'Mapa final'!$O$34),"")</f>
        <v/>
      </c>
      <c r="AC47" s="51" t="e">
        <f>IF(AND('Mapa final'!#REF!="Muy Baja",'Mapa final'!#REF!="Mayor"),CONCATENATE("R2C",'Mapa final'!#REF!),"")</f>
        <v>#REF!</v>
      </c>
      <c r="AD47" s="51" t="e">
        <f>IF(AND('Mapa final'!#REF!="Muy Baja",'Mapa final'!#REF!="Mayor"),CONCATENATE("R2C",'Mapa final'!#REF!),"")</f>
        <v>#REF!</v>
      </c>
      <c r="AE47" s="51" t="e">
        <f>IF(AND('Mapa final'!#REF!="Muy Baja",'Mapa final'!#REF!="Mayor"),CONCATENATE("R2C",'Mapa final'!#REF!),"")</f>
        <v>#REF!</v>
      </c>
      <c r="AF47" s="51" t="e">
        <f>IF(AND('Mapa final'!#REF!="Muy Baja",'Mapa final'!#REF!="Mayor"),CONCATENATE("R2C",'Mapa final'!#REF!),"")</f>
        <v>#REF!</v>
      </c>
      <c r="AG47" s="52" t="e">
        <f>IF(AND('Mapa final'!#REF!="Muy Baja",'Mapa final'!#REF!="Mayor"),CONCATENATE("R2C",'Mapa final'!#REF!),"")</f>
        <v>#REF!</v>
      </c>
      <c r="AH47" s="53" t="str">
        <f>IF(AND('Mapa final'!$Y$34="Muy Baja",'Mapa final'!$AA$34="Catastrófico"),CONCATENATE("R2C",'Mapa final'!$O$34),"")</f>
        <v/>
      </c>
      <c r="AI47" s="54" t="e">
        <f>IF(AND('Mapa final'!#REF!="Muy Baja",'Mapa final'!#REF!="Catastrófico"),CONCATENATE("R2C",'Mapa final'!#REF!),"")</f>
        <v>#REF!</v>
      </c>
      <c r="AJ47" s="54" t="e">
        <f>IF(AND('Mapa final'!#REF!="Muy Baja",'Mapa final'!#REF!="Catastrófico"),CONCATENATE("R2C",'Mapa final'!#REF!),"")</f>
        <v>#REF!</v>
      </c>
      <c r="AK47" s="54" t="e">
        <f>IF(AND('Mapa final'!#REF!="Muy Baja",'Mapa final'!#REF!="Catastrófico"),CONCATENATE("R2C",'Mapa final'!#REF!),"")</f>
        <v>#REF!</v>
      </c>
      <c r="AL47" s="54" t="e">
        <f>IF(AND('Mapa final'!#REF!="Muy Baja",'Mapa final'!#REF!="Catastrófico"),CONCATENATE("R2C",'Mapa final'!#REF!),"")</f>
        <v>#REF!</v>
      </c>
      <c r="AM47" s="55" t="e">
        <f>IF(AND('Mapa final'!#REF!="Muy Baja",'Mapa final'!#REF!="Catastrófico"),CONCATENATE("R2C",'Mapa final'!#REF!),"")</f>
        <v>#REF!</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354"/>
      <c r="C48" s="354"/>
      <c r="D48" s="355"/>
      <c r="E48" s="451"/>
      <c r="F48" s="452"/>
      <c r="G48" s="452"/>
      <c r="H48" s="452"/>
      <c r="I48" s="468"/>
      <c r="J48" s="74" t="str">
        <f>IF(AND('Mapa final'!$Y$35="Muy Baja",'Mapa final'!$AA$35="Leve"),CONCATENATE("R3C",'Mapa final'!$O$35),"")</f>
        <v/>
      </c>
      <c r="K48" s="75" t="e">
        <f>IF(AND('Mapa final'!#REF!="Muy Baja",'Mapa final'!#REF!="Leve"),CONCATENATE("R3C",'Mapa final'!#REF!),"")</f>
        <v>#REF!</v>
      </c>
      <c r="L48" s="75" t="e">
        <f>IF(AND('Mapa final'!#REF!="Muy Baja",'Mapa final'!#REF!="Leve"),CONCATENATE("R3C",'Mapa final'!#REF!),"")</f>
        <v>#REF!</v>
      </c>
      <c r="M48" s="75" t="e">
        <f>IF(AND('Mapa final'!#REF!="Muy Baja",'Mapa final'!#REF!="Leve"),CONCATENATE("R3C",'Mapa final'!#REF!),"")</f>
        <v>#REF!</v>
      </c>
      <c r="N48" s="75" t="e">
        <f>IF(AND('Mapa final'!#REF!="Muy Baja",'Mapa final'!#REF!="Leve"),CONCATENATE("R3C",'Mapa final'!#REF!),"")</f>
        <v>#REF!</v>
      </c>
      <c r="O48" s="76" t="e">
        <f>IF(AND('Mapa final'!#REF!="Muy Baja",'Mapa final'!#REF!="Leve"),CONCATENATE("R3C",'Mapa final'!#REF!),"")</f>
        <v>#REF!</v>
      </c>
      <c r="P48" s="74" t="str">
        <f>IF(AND('Mapa final'!$Y$35="Muy Baja",'Mapa final'!$AA$35="Menor"),CONCATENATE("R3C",'Mapa final'!$O$35),"")</f>
        <v/>
      </c>
      <c r="Q48" s="75" t="e">
        <f>IF(AND('Mapa final'!#REF!="Muy Baja",'Mapa final'!#REF!="Menor"),CONCATENATE("R3C",'Mapa final'!#REF!),"")</f>
        <v>#REF!</v>
      </c>
      <c r="R48" s="75" t="e">
        <f>IF(AND('Mapa final'!#REF!="Muy Baja",'Mapa final'!#REF!="Menor"),CONCATENATE("R3C",'Mapa final'!#REF!),"")</f>
        <v>#REF!</v>
      </c>
      <c r="S48" s="75" t="e">
        <f>IF(AND('Mapa final'!#REF!="Muy Baja",'Mapa final'!#REF!="Menor"),CONCATENATE("R3C",'Mapa final'!#REF!),"")</f>
        <v>#REF!</v>
      </c>
      <c r="T48" s="75" t="e">
        <f>IF(AND('Mapa final'!#REF!="Muy Baja",'Mapa final'!#REF!="Menor"),CONCATENATE("R3C",'Mapa final'!#REF!),"")</f>
        <v>#REF!</v>
      </c>
      <c r="U48" s="76" t="e">
        <f>IF(AND('Mapa final'!#REF!="Muy Baja",'Mapa final'!#REF!="Menor"),CONCATENATE("R3C",'Mapa final'!#REF!),"")</f>
        <v>#REF!</v>
      </c>
      <c r="V48" s="65" t="str">
        <f>IF(AND('Mapa final'!$Y$35="Muy Baja",'Mapa final'!$AA$35="Moderado"),CONCATENATE("R3C",'Mapa final'!$O$35),"")</f>
        <v/>
      </c>
      <c r="W48" s="66" t="e">
        <f>IF(AND('Mapa final'!#REF!="Muy Baja",'Mapa final'!#REF!="Moderado"),CONCATENATE("R3C",'Mapa final'!#REF!),"")</f>
        <v>#REF!</v>
      </c>
      <c r="X48" s="66" t="e">
        <f>IF(AND('Mapa final'!#REF!="Muy Baja",'Mapa final'!#REF!="Moderado"),CONCATENATE("R3C",'Mapa final'!#REF!),"")</f>
        <v>#REF!</v>
      </c>
      <c r="Y48" s="66" t="e">
        <f>IF(AND('Mapa final'!#REF!="Muy Baja",'Mapa final'!#REF!="Moderado"),CONCATENATE("R3C",'Mapa final'!#REF!),"")</f>
        <v>#REF!</v>
      </c>
      <c r="Z48" s="66" t="e">
        <f>IF(AND('Mapa final'!#REF!="Muy Baja",'Mapa final'!#REF!="Moderado"),CONCATENATE("R3C",'Mapa final'!#REF!),"")</f>
        <v>#REF!</v>
      </c>
      <c r="AA48" s="67" t="e">
        <f>IF(AND('Mapa final'!#REF!="Muy Baja",'Mapa final'!#REF!="Moderado"),CONCATENATE("R3C",'Mapa final'!#REF!),"")</f>
        <v>#REF!</v>
      </c>
      <c r="AB48" s="50" t="str">
        <f>IF(AND('Mapa final'!$Y$35="Muy Baja",'Mapa final'!$AA$35="Mayor"),CONCATENATE("R3C",'Mapa final'!$O$35),"")</f>
        <v/>
      </c>
      <c r="AC48" s="51" t="e">
        <f>IF(AND('Mapa final'!#REF!="Muy Baja",'Mapa final'!#REF!="Mayor"),CONCATENATE("R3C",'Mapa final'!#REF!),"")</f>
        <v>#REF!</v>
      </c>
      <c r="AD48" s="51" t="e">
        <f>IF(AND('Mapa final'!#REF!="Muy Baja",'Mapa final'!#REF!="Mayor"),CONCATENATE("R3C",'Mapa final'!#REF!),"")</f>
        <v>#REF!</v>
      </c>
      <c r="AE48" s="51" t="e">
        <f>IF(AND('Mapa final'!#REF!="Muy Baja",'Mapa final'!#REF!="Mayor"),CONCATENATE("R3C",'Mapa final'!#REF!),"")</f>
        <v>#REF!</v>
      </c>
      <c r="AF48" s="51" t="e">
        <f>IF(AND('Mapa final'!#REF!="Muy Baja",'Mapa final'!#REF!="Mayor"),CONCATENATE("R3C",'Mapa final'!#REF!),"")</f>
        <v>#REF!</v>
      </c>
      <c r="AG48" s="52" t="e">
        <f>IF(AND('Mapa final'!#REF!="Muy Baja",'Mapa final'!#REF!="Mayor"),CONCATENATE("R3C",'Mapa final'!#REF!),"")</f>
        <v>#REF!</v>
      </c>
      <c r="AH48" s="53" t="str">
        <f>IF(AND('Mapa final'!$Y$35="Muy Baja",'Mapa final'!$AA$35="Catastrófico"),CONCATENATE("R3C",'Mapa final'!$O$35),"")</f>
        <v/>
      </c>
      <c r="AI48" s="54" t="e">
        <f>IF(AND('Mapa final'!#REF!="Muy Baja",'Mapa final'!#REF!="Catastrófico"),CONCATENATE("R3C",'Mapa final'!#REF!),"")</f>
        <v>#REF!</v>
      </c>
      <c r="AJ48" s="54" t="e">
        <f>IF(AND('Mapa final'!#REF!="Muy Baja",'Mapa final'!#REF!="Catastrófico"),CONCATENATE("R3C",'Mapa final'!#REF!),"")</f>
        <v>#REF!</v>
      </c>
      <c r="AK48" s="54" t="e">
        <f>IF(AND('Mapa final'!#REF!="Muy Baja",'Mapa final'!#REF!="Catastrófico"),CONCATENATE("R3C",'Mapa final'!#REF!),"")</f>
        <v>#REF!</v>
      </c>
      <c r="AL48" s="54" t="e">
        <f>IF(AND('Mapa final'!#REF!="Muy Baja",'Mapa final'!#REF!="Catastrófico"),CONCATENATE("R3C",'Mapa final'!#REF!),"")</f>
        <v>#REF!</v>
      </c>
      <c r="AM48" s="55" t="e">
        <f>IF(AND('Mapa final'!#REF!="Muy Baja",'Mapa final'!#REF!="Catastrófico"),CONCATENATE("R3C",'Mapa final'!#REF!),"")</f>
        <v>#REF!</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354"/>
      <c r="C49" s="354"/>
      <c r="D49" s="355"/>
      <c r="E49" s="453"/>
      <c r="F49" s="452"/>
      <c r="G49" s="452"/>
      <c r="H49" s="452"/>
      <c r="I49" s="468"/>
      <c r="J49" s="74" t="str">
        <f>IF(AND('Mapa final'!$Y$36="Muy Baja",'Mapa final'!$AA$36="Leve"),CONCATENATE("R4C",'Mapa final'!$O$36),"")</f>
        <v/>
      </c>
      <c r="K49" s="75" t="e">
        <f>IF(AND('Mapa final'!#REF!="Muy Baja",'Mapa final'!#REF!="Leve"),CONCATENATE("R4C",'Mapa final'!#REF!),"")</f>
        <v>#REF!</v>
      </c>
      <c r="L49" s="75" t="e">
        <f>IF(AND('Mapa final'!#REF!="Muy Baja",'Mapa final'!#REF!="Leve"),CONCATENATE("R4C",'Mapa final'!#REF!),"")</f>
        <v>#REF!</v>
      </c>
      <c r="M49" s="75" t="e">
        <f>IF(AND('Mapa final'!#REF!="Muy Baja",'Mapa final'!#REF!="Leve"),CONCATENATE("R4C",'Mapa final'!#REF!),"")</f>
        <v>#REF!</v>
      </c>
      <c r="N49" s="75" t="e">
        <f>IF(AND('Mapa final'!#REF!="Muy Baja",'Mapa final'!#REF!="Leve"),CONCATENATE("R4C",'Mapa final'!#REF!),"")</f>
        <v>#REF!</v>
      </c>
      <c r="O49" s="76" t="e">
        <f>IF(AND('Mapa final'!#REF!="Muy Baja",'Mapa final'!#REF!="Leve"),CONCATENATE("R4C",'Mapa final'!#REF!),"")</f>
        <v>#REF!</v>
      </c>
      <c r="P49" s="74" t="str">
        <f>IF(AND('Mapa final'!$Y$36="Muy Baja",'Mapa final'!$AA$36="Menor"),CONCATENATE("R4C",'Mapa final'!$O$36),"")</f>
        <v/>
      </c>
      <c r="Q49" s="75" t="e">
        <f>IF(AND('Mapa final'!#REF!="Muy Baja",'Mapa final'!#REF!="Menor"),CONCATENATE("R4C",'Mapa final'!#REF!),"")</f>
        <v>#REF!</v>
      </c>
      <c r="R49" s="75" t="e">
        <f>IF(AND('Mapa final'!#REF!="Muy Baja",'Mapa final'!#REF!="Menor"),CONCATENATE("R4C",'Mapa final'!#REF!),"")</f>
        <v>#REF!</v>
      </c>
      <c r="S49" s="75" t="e">
        <f>IF(AND('Mapa final'!#REF!="Muy Baja",'Mapa final'!#REF!="Menor"),CONCATENATE("R4C",'Mapa final'!#REF!),"")</f>
        <v>#REF!</v>
      </c>
      <c r="T49" s="75" t="e">
        <f>IF(AND('Mapa final'!#REF!="Muy Baja",'Mapa final'!#REF!="Menor"),CONCATENATE("R4C",'Mapa final'!#REF!),"")</f>
        <v>#REF!</v>
      </c>
      <c r="U49" s="76" t="e">
        <f>IF(AND('Mapa final'!#REF!="Muy Baja",'Mapa final'!#REF!="Menor"),CONCATENATE("R4C",'Mapa final'!#REF!),"")</f>
        <v>#REF!</v>
      </c>
      <c r="V49" s="65" t="str">
        <f>IF(AND('Mapa final'!$Y$36="Muy Baja",'Mapa final'!$AA$36="Moderado"),CONCATENATE("R4C",'Mapa final'!$O$36),"")</f>
        <v>R4C1</v>
      </c>
      <c r="W49" s="66" t="e">
        <f>IF(AND('Mapa final'!#REF!="Muy Baja",'Mapa final'!#REF!="Moderado"),CONCATENATE("R4C",'Mapa final'!#REF!),"")</f>
        <v>#REF!</v>
      </c>
      <c r="X49" s="66" t="e">
        <f>IF(AND('Mapa final'!#REF!="Muy Baja",'Mapa final'!#REF!="Moderado"),CONCATENATE("R4C",'Mapa final'!#REF!),"")</f>
        <v>#REF!</v>
      </c>
      <c r="Y49" s="66" t="e">
        <f>IF(AND('Mapa final'!#REF!="Muy Baja",'Mapa final'!#REF!="Moderado"),CONCATENATE("R4C",'Mapa final'!#REF!),"")</f>
        <v>#REF!</v>
      </c>
      <c r="Z49" s="66" t="e">
        <f>IF(AND('Mapa final'!#REF!="Muy Baja",'Mapa final'!#REF!="Moderado"),CONCATENATE("R4C",'Mapa final'!#REF!),"")</f>
        <v>#REF!</v>
      </c>
      <c r="AA49" s="67" t="e">
        <f>IF(AND('Mapa final'!#REF!="Muy Baja",'Mapa final'!#REF!="Moderado"),CONCATENATE("R4C",'Mapa final'!#REF!),"")</f>
        <v>#REF!</v>
      </c>
      <c r="AB49" s="50" t="str">
        <f>IF(AND('Mapa final'!$Y$36="Muy Baja",'Mapa final'!$AA$36="Mayor"),CONCATENATE("R4C",'Mapa final'!$O$36),"")</f>
        <v/>
      </c>
      <c r="AC49" s="51" t="e">
        <f>IF(AND('Mapa final'!#REF!="Muy Baja",'Mapa final'!#REF!="Mayor"),CONCATENATE("R4C",'Mapa final'!#REF!),"")</f>
        <v>#REF!</v>
      </c>
      <c r="AD49" s="51" t="e">
        <f>IF(AND('Mapa final'!#REF!="Muy Baja",'Mapa final'!#REF!="Mayor"),CONCATENATE("R4C",'Mapa final'!#REF!),"")</f>
        <v>#REF!</v>
      </c>
      <c r="AE49" s="51" t="e">
        <f>IF(AND('Mapa final'!#REF!="Muy Baja",'Mapa final'!#REF!="Mayor"),CONCATENATE("R4C",'Mapa final'!#REF!),"")</f>
        <v>#REF!</v>
      </c>
      <c r="AF49" s="51" t="e">
        <f>IF(AND('Mapa final'!#REF!="Muy Baja",'Mapa final'!#REF!="Mayor"),CONCATENATE("R4C",'Mapa final'!#REF!),"")</f>
        <v>#REF!</v>
      </c>
      <c r="AG49" s="52" t="e">
        <f>IF(AND('Mapa final'!#REF!="Muy Baja",'Mapa final'!#REF!="Mayor"),CONCATENATE("R4C",'Mapa final'!#REF!),"")</f>
        <v>#REF!</v>
      </c>
      <c r="AH49" s="53" t="str">
        <f>IF(AND('Mapa final'!$Y$36="Muy Baja",'Mapa final'!$AA$36="Catastrófico"),CONCATENATE("R4C",'Mapa final'!$O$36),"")</f>
        <v/>
      </c>
      <c r="AI49" s="54" t="e">
        <f>IF(AND('Mapa final'!#REF!="Muy Baja",'Mapa final'!#REF!="Catastrófico"),CONCATENATE("R4C",'Mapa final'!#REF!),"")</f>
        <v>#REF!</v>
      </c>
      <c r="AJ49" s="54" t="e">
        <f>IF(AND('Mapa final'!#REF!="Muy Baja",'Mapa final'!#REF!="Catastrófico"),CONCATENATE("R4C",'Mapa final'!#REF!),"")</f>
        <v>#REF!</v>
      </c>
      <c r="AK49" s="54" t="e">
        <f>IF(AND('Mapa final'!#REF!="Muy Baja",'Mapa final'!#REF!="Catastrófico"),CONCATENATE("R4C",'Mapa final'!#REF!),"")</f>
        <v>#REF!</v>
      </c>
      <c r="AL49" s="54" t="e">
        <f>IF(AND('Mapa final'!#REF!="Muy Baja",'Mapa final'!#REF!="Catastrófico"),CONCATENATE("R4C",'Mapa final'!#REF!),"")</f>
        <v>#REF!</v>
      </c>
      <c r="AM49" s="55" t="e">
        <f>IF(AND('Mapa final'!#REF!="Muy Baja",'Mapa final'!#REF!="Catastrófico"),CONCATENATE("R4C",'Mapa final'!#REF!),"")</f>
        <v>#REF!</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354"/>
      <c r="C50" s="354"/>
      <c r="D50" s="355"/>
      <c r="E50" s="453"/>
      <c r="F50" s="452"/>
      <c r="G50" s="452"/>
      <c r="H50" s="452"/>
      <c r="I50" s="468"/>
      <c r="J50" s="74" t="str">
        <f>IF(AND('Mapa final'!$Y$37="Muy Baja",'Mapa final'!$AA$37="Leve"),CONCATENATE("R5C",'Mapa final'!$O$37),"")</f>
        <v/>
      </c>
      <c r="K50" s="75" t="e">
        <f>IF(AND('Mapa final'!#REF!="Muy Baja",'Mapa final'!#REF!="Leve"),CONCATENATE("R5C",'Mapa final'!#REF!),"")</f>
        <v>#REF!</v>
      </c>
      <c r="L50" s="75" t="e">
        <f>IF(AND('Mapa final'!#REF!="Muy Baja",'Mapa final'!#REF!="Leve"),CONCATENATE("R5C",'Mapa final'!#REF!),"")</f>
        <v>#REF!</v>
      </c>
      <c r="M50" s="75" t="e">
        <f>IF(AND('Mapa final'!#REF!="Muy Baja",'Mapa final'!#REF!="Leve"),CONCATENATE("R5C",'Mapa final'!#REF!),"")</f>
        <v>#REF!</v>
      </c>
      <c r="N50" s="75" t="e">
        <f>IF(AND('Mapa final'!#REF!="Muy Baja",'Mapa final'!#REF!="Leve"),CONCATENATE("R5C",'Mapa final'!#REF!),"")</f>
        <v>#REF!</v>
      </c>
      <c r="O50" s="76" t="e">
        <f>IF(AND('Mapa final'!#REF!="Muy Baja",'Mapa final'!#REF!="Leve"),CONCATENATE("R5C",'Mapa final'!#REF!),"")</f>
        <v>#REF!</v>
      </c>
      <c r="P50" s="74" t="str">
        <f>IF(AND('Mapa final'!$Y$37="Muy Baja",'Mapa final'!$AA$37="Menor"),CONCATENATE("R5C",'Mapa final'!$O$37),"")</f>
        <v/>
      </c>
      <c r="Q50" s="75" t="e">
        <f>IF(AND('Mapa final'!#REF!="Muy Baja",'Mapa final'!#REF!="Menor"),CONCATENATE("R5C",'Mapa final'!#REF!),"")</f>
        <v>#REF!</v>
      </c>
      <c r="R50" s="75" t="e">
        <f>IF(AND('Mapa final'!#REF!="Muy Baja",'Mapa final'!#REF!="Menor"),CONCATENATE("R5C",'Mapa final'!#REF!),"")</f>
        <v>#REF!</v>
      </c>
      <c r="S50" s="75" t="e">
        <f>IF(AND('Mapa final'!#REF!="Muy Baja",'Mapa final'!#REF!="Menor"),CONCATENATE("R5C",'Mapa final'!#REF!),"")</f>
        <v>#REF!</v>
      </c>
      <c r="T50" s="75" t="e">
        <f>IF(AND('Mapa final'!#REF!="Muy Baja",'Mapa final'!#REF!="Menor"),CONCATENATE("R5C",'Mapa final'!#REF!),"")</f>
        <v>#REF!</v>
      </c>
      <c r="U50" s="76" t="e">
        <f>IF(AND('Mapa final'!#REF!="Muy Baja",'Mapa final'!#REF!="Menor"),CONCATENATE("R5C",'Mapa final'!#REF!),"")</f>
        <v>#REF!</v>
      </c>
      <c r="V50" s="65" t="str">
        <f>IF(AND('Mapa final'!$Y$37="Muy Baja",'Mapa final'!$AA$37="Moderado"),CONCATENATE("R5C",'Mapa final'!$O$37),"")</f>
        <v/>
      </c>
      <c r="W50" s="66" t="e">
        <f>IF(AND('Mapa final'!#REF!="Muy Baja",'Mapa final'!#REF!="Moderado"),CONCATENATE("R5C",'Mapa final'!#REF!),"")</f>
        <v>#REF!</v>
      </c>
      <c r="X50" s="66" t="e">
        <f>IF(AND('Mapa final'!#REF!="Muy Baja",'Mapa final'!#REF!="Moderado"),CONCATENATE("R5C",'Mapa final'!#REF!),"")</f>
        <v>#REF!</v>
      </c>
      <c r="Y50" s="66" t="e">
        <f>IF(AND('Mapa final'!#REF!="Muy Baja",'Mapa final'!#REF!="Moderado"),CONCATENATE("R5C",'Mapa final'!#REF!),"")</f>
        <v>#REF!</v>
      </c>
      <c r="Z50" s="66" t="e">
        <f>IF(AND('Mapa final'!#REF!="Muy Baja",'Mapa final'!#REF!="Moderado"),CONCATENATE("R5C",'Mapa final'!#REF!),"")</f>
        <v>#REF!</v>
      </c>
      <c r="AA50" s="67" t="e">
        <f>IF(AND('Mapa final'!#REF!="Muy Baja",'Mapa final'!#REF!="Moderado"),CONCATENATE("R5C",'Mapa final'!#REF!),"")</f>
        <v>#REF!</v>
      </c>
      <c r="AB50" s="50" t="str">
        <f>IF(AND('Mapa final'!$Y$37="Muy Baja",'Mapa final'!$AA$37="Mayor"),CONCATENATE("R5C",'Mapa final'!$O$37),"")</f>
        <v/>
      </c>
      <c r="AC50" s="51" t="e">
        <f>IF(AND('Mapa final'!#REF!="Muy Baja",'Mapa final'!#REF!="Mayor"),CONCATENATE("R5C",'Mapa final'!#REF!),"")</f>
        <v>#REF!</v>
      </c>
      <c r="AD50" s="51" t="e">
        <f>IF(AND('Mapa final'!#REF!="Muy Baja",'Mapa final'!#REF!="Mayor"),CONCATENATE("R5C",'Mapa final'!#REF!),"")</f>
        <v>#REF!</v>
      </c>
      <c r="AE50" s="51" t="e">
        <f>IF(AND('Mapa final'!#REF!="Muy Baja",'Mapa final'!#REF!="Mayor"),CONCATENATE("R5C",'Mapa final'!#REF!),"")</f>
        <v>#REF!</v>
      </c>
      <c r="AF50" s="51" t="e">
        <f>IF(AND('Mapa final'!#REF!="Muy Baja",'Mapa final'!#REF!="Mayor"),CONCATENATE("R5C",'Mapa final'!#REF!),"")</f>
        <v>#REF!</v>
      </c>
      <c r="AG50" s="52" t="e">
        <f>IF(AND('Mapa final'!#REF!="Muy Baja",'Mapa final'!#REF!="Mayor"),CONCATENATE("R5C",'Mapa final'!#REF!),"")</f>
        <v>#REF!</v>
      </c>
      <c r="AH50" s="53" t="str">
        <f>IF(AND('Mapa final'!$Y$37="Muy Baja",'Mapa final'!$AA$37="Catastrófico"),CONCATENATE("R5C",'Mapa final'!$O$37),"")</f>
        <v/>
      </c>
      <c r="AI50" s="54" t="e">
        <f>IF(AND('Mapa final'!#REF!="Muy Baja",'Mapa final'!#REF!="Catastrófico"),CONCATENATE("R5C",'Mapa final'!#REF!),"")</f>
        <v>#REF!</v>
      </c>
      <c r="AJ50" s="54" t="e">
        <f>IF(AND('Mapa final'!#REF!="Muy Baja",'Mapa final'!#REF!="Catastrófico"),CONCATENATE("R5C",'Mapa final'!#REF!),"")</f>
        <v>#REF!</v>
      </c>
      <c r="AK50" s="54" t="e">
        <f>IF(AND('Mapa final'!#REF!="Muy Baja",'Mapa final'!#REF!="Catastrófico"),CONCATENATE("R5C",'Mapa final'!#REF!),"")</f>
        <v>#REF!</v>
      </c>
      <c r="AL50" s="54" t="e">
        <f>IF(AND('Mapa final'!#REF!="Muy Baja",'Mapa final'!#REF!="Catastrófico"),CONCATENATE("R5C",'Mapa final'!#REF!),"")</f>
        <v>#REF!</v>
      </c>
      <c r="AM50" s="55" t="e">
        <f>IF(AND('Mapa final'!#REF!="Muy Baja",'Mapa final'!#REF!="Catastrófico"),CONCATENATE("R5C",'Mapa final'!#REF!),"")</f>
        <v>#REF!</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354"/>
      <c r="C51" s="354"/>
      <c r="D51" s="355"/>
      <c r="E51" s="453"/>
      <c r="F51" s="452"/>
      <c r="G51" s="452"/>
      <c r="H51" s="452"/>
      <c r="I51" s="468"/>
      <c r="J51" s="74" t="e">
        <f>IF(AND('Mapa final'!#REF!="Muy Baja",'Mapa final'!#REF!="Leve"),CONCATENATE("R6C",'Mapa final'!#REF!),"")</f>
        <v>#REF!</v>
      </c>
      <c r="K51" s="75" t="e">
        <f>IF(AND('Mapa final'!#REF!="Muy Baja",'Mapa final'!#REF!="Leve"),CONCATENATE("R6C",'Mapa final'!#REF!),"")</f>
        <v>#REF!</v>
      </c>
      <c r="L51" s="75" t="e">
        <f>IF(AND('Mapa final'!#REF!="Muy Baja",'Mapa final'!#REF!="Leve"),CONCATENATE("R6C",'Mapa final'!#REF!),"")</f>
        <v>#REF!</v>
      </c>
      <c r="M51" s="75" t="e">
        <f>IF(AND('Mapa final'!#REF!="Muy Baja",'Mapa final'!#REF!="Leve"),CONCATENATE("R6C",'Mapa final'!#REF!),"")</f>
        <v>#REF!</v>
      </c>
      <c r="N51" s="75" t="e">
        <f>IF(AND('Mapa final'!#REF!="Muy Baja",'Mapa final'!#REF!="Leve"),CONCATENATE("R6C",'Mapa final'!#REF!),"")</f>
        <v>#REF!</v>
      </c>
      <c r="O51" s="76" t="e">
        <f>IF(AND('Mapa final'!#REF!="Muy Baja",'Mapa final'!#REF!="Leve"),CONCATENATE("R6C",'Mapa final'!#REF!),"")</f>
        <v>#REF!</v>
      </c>
      <c r="P51" s="74" t="e">
        <f>IF(AND('Mapa final'!#REF!="Muy Baja",'Mapa final'!#REF!="Menor"),CONCATENATE("R6C",'Mapa final'!#REF!),"")</f>
        <v>#REF!</v>
      </c>
      <c r="Q51" s="75" t="e">
        <f>IF(AND('Mapa final'!#REF!="Muy Baja",'Mapa final'!#REF!="Menor"),CONCATENATE("R6C",'Mapa final'!#REF!),"")</f>
        <v>#REF!</v>
      </c>
      <c r="R51" s="75" t="e">
        <f>IF(AND('Mapa final'!#REF!="Muy Baja",'Mapa final'!#REF!="Menor"),CONCATENATE("R6C",'Mapa final'!#REF!),"")</f>
        <v>#REF!</v>
      </c>
      <c r="S51" s="75" t="e">
        <f>IF(AND('Mapa final'!#REF!="Muy Baja",'Mapa final'!#REF!="Menor"),CONCATENATE("R6C",'Mapa final'!#REF!),"")</f>
        <v>#REF!</v>
      </c>
      <c r="T51" s="75" t="e">
        <f>IF(AND('Mapa final'!#REF!="Muy Baja",'Mapa final'!#REF!="Menor"),CONCATENATE("R6C",'Mapa final'!#REF!),"")</f>
        <v>#REF!</v>
      </c>
      <c r="U51" s="76" t="e">
        <f>IF(AND('Mapa final'!#REF!="Muy Baja",'Mapa final'!#REF!="Menor"),CONCATENATE("R6C",'Mapa final'!#REF!),"")</f>
        <v>#REF!</v>
      </c>
      <c r="V51" s="65" t="e">
        <f>IF(AND('Mapa final'!#REF!="Muy Baja",'Mapa final'!#REF!="Moderado"),CONCATENATE("R6C",'Mapa final'!#REF!),"")</f>
        <v>#REF!</v>
      </c>
      <c r="W51" s="66" t="e">
        <f>IF(AND('Mapa final'!#REF!="Muy Baja",'Mapa final'!#REF!="Moderado"),CONCATENATE("R6C",'Mapa final'!#REF!),"")</f>
        <v>#REF!</v>
      </c>
      <c r="X51" s="66" t="e">
        <f>IF(AND('Mapa final'!#REF!="Muy Baja",'Mapa final'!#REF!="Moderado"),CONCATENATE("R6C",'Mapa final'!#REF!),"")</f>
        <v>#REF!</v>
      </c>
      <c r="Y51" s="66" t="e">
        <f>IF(AND('Mapa final'!#REF!="Muy Baja",'Mapa final'!#REF!="Moderado"),CONCATENATE("R6C",'Mapa final'!#REF!),"")</f>
        <v>#REF!</v>
      </c>
      <c r="Z51" s="66" t="e">
        <f>IF(AND('Mapa final'!#REF!="Muy Baja",'Mapa final'!#REF!="Moderado"),CONCATENATE("R6C",'Mapa final'!#REF!),"")</f>
        <v>#REF!</v>
      </c>
      <c r="AA51" s="67" t="e">
        <f>IF(AND('Mapa final'!#REF!="Muy Baja",'Mapa final'!#REF!="Moderado"),CONCATENATE("R6C",'Mapa final'!#REF!),"")</f>
        <v>#REF!</v>
      </c>
      <c r="AB51" s="50" t="e">
        <f>IF(AND('Mapa final'!#REF!="Muy Baja",'Mapa final'!#REF!="Mayor"),CONCATENATE("R6C",'Mapa final'!#REF!),"")</f>
        <v>#REF!</v>
      </c>
      <c r="AC51" s="51" t="e">
        <f>IF(AND('Mapa final'!#REF!="Muy Baja",'Mapa final'!#REF!="Mayor"),CONCATENATE("R6C",'Mapa final'!#REF!),"")</f>
        <v>#REF!</v>
      </c>
      <c r="AD51" s="51" t="e">
        <f>IF(AND('Mapa final'!#REF!="Muy Baja",'Mapa final'!#REF!="Mayor"),CONCATENATE("R6C",'Mapa final'!#REF!),"")</f>
        <v>#REF!</v>
      </c>
      <c r="AE51" s="51" t="e">
        <f>IF(AND('Mapa final'!#REF!="Muy Baja",'Mapa final'!#REF!="Mayor"),CONCATENATE("R6C",'Mapa final'!#REF!),"")</f>
        <v>#REF!</v>
      </c>
      <c r="AF51" s="51" t="e">
        <f>IF(AND('Mapa final'!#REF!="Muy Baja",'Mapa final'!#REF!="Mayor"),CONCATENATE("R6C",'Mapa final'!#REF!),"")</f>
        <v>#REF!</v>
      </c>
      <c r="AG51" s="52" t="e">
        <f>IF(AND('Mapa final'!#REF!="Muy Baja",'Mapa final'!#REF!="Mayor"),CONCATENATE("R6C",'Mapa final'!#REF!),"")</f>
        <v>#REF!</v>
      </c>
      <c r="AH51" s="53" t="e">
        <f>IF(AND('Mapa final'!#REF!="Muy Baja",'Mapa final'!#REF!="Catastrófico"),CONCATENATE("R6C",'Mapa final'!#REF!),"")</f>
        <v>#REF!</v>
      </c>
      <c r="AI51" s="54" t="e">
        <f>IF(AND('Mapa final'!#REF!="Muy Baja",'Mapa final'!#REF!="Catastrófico"),CONCATENATE("R6C",'Mapa final'!#REF!),"")</f>
        <v>#REF!</v>
      </c>
      <c r="AJ51" s="54" t="e">
        <f>IF(AND('Mapa final'!#REF!="Muy Baja",'Mapa final'!#REF!="Catastrófico"),CONCATENATE("R6C",'Mapa final'!#REF!),"")</f>
        <v>#REF!</v>
      </c>
      <c r="AK51" s="54" t="e">
        <f>IF(AND('Mapa final'!#REF!="Muy Baja",'Mapa final'!#REF!="Catastrófico"),CONCATENATE("R6C",'Mapa final'!#REF!),"")</f>
        <v>#REF!</v>
      </c>
      <c r="AL51" s="54" t="e">
        <f>IF(AND('Mapa final'!#REF!="Muy Baja",'Mapa final'!#REF!="Catastrófico"),CONCATENATE("R6C",'Mapa final'!#REF!),"")</f>
        <v>#REF!</v>
      </c>
      <c r="AM51" s="55" t="e">
        <f>IF(AND('Mapa final'!#REF!="Muy Baja",'Mapa final'!#REF!="Catastrófico"),CONCATENATE("R6C",'Mapa final'!#REF!),"")</f>
        <v>#REF!</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354"/>
      <c r="C52" s="354"/>
      <c r="D52" s="355"/>
      <c r="E52" s="453"/>
      <c r="F52" s="452"/>
      <c r="G52" s="452"/>
      <c r="H52" s="452"/>
      <c r="I52" s="468"/>
      <c r="J52" s="74" t="e">
        <f>IF(AND('Mapa final'!#REF!="Muy Baja",'Mapa final'!#REF!="Leve"),CONCATENATE("R7C",'Mapa final'!#REF!),"")</f>
        <v>#REF!</v>
      </c>
      <c r="K52" s="75" t="e">
        <f>IF(AND('Mapa final'!#REF!="Muy Baja",'Mapa final'!#REF!="Leve"),CONCATENATE("R7C",'Mapa final'!#REF!),"")</f>
        <v>#REF!</v>
      </c>
      <c r="L52" s="75" t="e">
        <f>IF(AND('Mapa final'!#REF!="Muy Baja",'Mapa final'!#REF!="Leve"),CONCATENATE("R7C",'Mapa final'!#REF!),"")</f>
        <v>#REF!</v>
      </c>
      <c r="M52" s="75" t="e">
        <f>IF(AND('Mapa final'!#REF!="Muy Baja",'Mapa final'!#REF!="Leve"),CONCATENATE("R7C",'Mapa final'!#REF!),"")</f>
        <v>#REF!</v>
      </c>
      <c r="N52" s="75" t="e">
        <f>IF(AND('Mapa final'!#REF!="Muy Baja",'Mapa final'!#REF!="Leve"),CONCATENATE("R7C",'Mapa final'!#REF!),"")</f>
        <v>#REF!</v>
      </c>
      <c r="O52" s="76" t="e">
        <f>IF(AND('Mapa final'!#REF!="Muy Baja",'Mapa final'!#REF!="Leve"),CONCATENATE("R7C",'Mapa final'!#REF!),"")</f>
        <v>#REF!</v>
      </c>
      <c r="P52" s="74" t="e">
        <f>IF(AND('Mapa final'!#REF!="Muy Baja",'Mapa final'!#REF!="Menor"),CONCATENATE("R7C",'Mapa final'!#REF!),"")</f>
        <v>#REF!</v>
      </c>
      <c r="Q52" s="75" t="e">
        <f>IF(AND('Mapa final'!#REF!="Muy Baja",'Mapa final'!#REF!="Menor"),CONCATENATE("R7C",'Mapa final'!#REF!),"")</f>
        <v>#REF!</v>
      </c>
      <c r="R52" s="75" t="e">
        <f>IF(AND('Mapa final'!#REF!="Muy Baja",'Mapa final'!#REF!="Menor"),CONCATENATE("R7C",'Mapa final'!#REF!),"")</f>
        <v>#REF!</v>
      </c>
      <c r="S52" s="75" t="e">
        <f>IF(AND('Mapa final'!#REF!="Muy Baja",'Mapa final'!#REF!="Menor"),CONCATENATE("R7C",'Mapa final'!#REF!),"")</f>
        <v>#REF!</v>
      </c>
      <c r="T52" s="75" t="e">
        <f>IF(AND('Mapa final'!#REF!="Muy Baja",'Mapa final'!#REF!="Menor"),CONCATENATE("R7C",'Mapa final'!#REF!),"")</f>
        <v>#REF!</v>
      </c>
      <c r="U52" s="76" t="e">
        <f>IF(AND('Mapa final'!#REF!="Muy Baja",'Mapa final'!#REF!="Menor"),CONCATENATE("R7C",'Mapa final'!#REF!),"")</f>
        <v>#REF!</v>
      </c>
      <c r="V52" s="65" t="e">
        <f>IF(AND('Mapa final'!#REF!="Muy Baja",'Mapa final'!#REF!="Moderado"),CONCATENATE("R7C",'Mapa final'!#REF!),"")</f>
        <v>#REF!</v>
      </c>
      <c r="W52" s="66" t="e">
        <f>IF(AND('Mapa final'!#REF!="Muy Baja",'Mapa final'!#REF!="Moderado"),CONCATENATE("R7C",'Mapa final'!#REF!),"")</f>
        <v>#REF!</v>
      </c>
      <c r="X52" s="66" t="e">
        <f>IF(AND('Mapa final'!#REF!="Muy Baja",'Mapa final'!#REF!="Moderado"),CONCATENATE("R7C",'Mapa final'!#REF!),"")</f>
        <v>#REF!</v>
      </c>
      <c r="Y52" s="66" t="e">
        <f>IF(AND('Mapa final'!#REF!="Muy Baja",'Mapa final'!#REF!="Moderado"),CONCATENATE("R7C",'Mapa final'!#REF!),"")</f>
        <v>#REF!</v>
      </c>
      <c r="Z52" s="66" t="e">
        <f>IF(AND('Mapa final'!#REF!="Muy Baja",'Mapa final'!#REF!="Moderado"),CONCATENATE("R7C",'Mapa final'!#REF!),"")</f>
        <v>#REF!</v>
      </c>
      <c r="AA52" s="67" t="e">
        <f>IF(AND('Mapa final'!#REF!="Muy Baja",'Mapa final'!#REF!="Moderado"),CONCATENATE("R7C",'Mapa final'!#REF!),"")</f>
        <v>#REF!</v>
      </c>
      <c r="AB52" s="50" t="e">
        <f>IF(AND('Mapa final'!#REF!="Muy Baja",'Mapa final'!#REF!="Mayor"),CONCATENATE("R7C",'Mapa final'!#REF!),"")</f>
        <v>#REF!</v>
      </c>
      <c r="AC52" s="51" t="e">
        <f>IF(AND('Mapa final'!#REF!="Muy Baja",'Mapa final'!#REF!="Mayor"),CONCATENATE("R7C",'Mapa final'!#REF!),"")</f>
        <v>#REF!</v>
      </c>
      <c r="AD52" s="51" t="e">
        <f>IF(AND('Mapa final'!#REF!="Muy Baja",'Mapa final'!#REF!="Mayor"),CONCATENATE("R7C",'Mapa final'!#REF!),"")</f>
        <v>#REF!</v>
      </c>
      <c r="AE52" s="51" t="e">
        <f>IF(AND('Mapa final'!#REF!="Muy Baja",'Mapa final'!#REF!="Mayor"),CONCATENATE("R7C",'Mapa final'!#REF!),"")</f>
        <v>#REF!</v>
      </c>
      <c r="AF52" s="51" t="e">
        <f>IF(AND('Mapa final'!#REF!="Muy Baja",'Mapa final'!#REF!="Mayor"),CONCATENATE("R7C",'Mapa final'!#REF!),"")</f>
        <v>#REF!</v>
      </c>
      <c r="AG52" s="52" t="e">
        <f>IF(AND('Mapa final'!#REF!="Muy Baja",'Mapa final'!#REF!="Mayor"),CONCATENATE("R7C",'Mapa final'!#REF!),"")</f>
        <v>#REF!</v>
      </c>
      <c r="AH52" s="53" t="e">
        <f>IF(AND('Mapa final'!#REF!="Muy Baja",'Mapa final'!#REF!="Catastrófico"),CONCATENATE("R7C",'Mapa final'!#REF!),"")</f>
        <v>#REF!</v>
      </c>
      <c r="AI52" s="54" t="e">
        <f>IF(AND('Mapa final'!#REF!="Muy Baja",'Mapa final'!#REF!="Catastrófico"),CONCATENATE("R7C",'Mapa final'!#REF!),"")</f>
        <v>#REF!</v>
      </c>
      <c r="AJ52" s="54" t="e">
        <f>IF(AND('Mapa final'!#REF!="Muy Baja",'Mapa final'!#REF!="Catastrófico"),CONCATENATE("R7C",'Mapa final'!#REF!),"")</f>
        <v>#REF!</v>
      </c>
      <c r="AK52" s="54" t="e">
        <f>IF(AND('Mapa final'!#REF!="Muy Baja",'Mapa final'!#REF!="Catastrófico"),CONCATENATE("R7C",'Mapa final'!#REF!),"")</f>
        <v>#REF!</v>
      </c>
      <c r="AL52" s="54" t="e">
        <f>IF(AND('Mapa final'!#REF!="Muy Baja",'Mapa final'!#REF!="Catastrófico"),CONCATENATE("R7C",'Mapa final'!#REF!),"")</f>
        <v>#REF!</v>
      </c>
      <c r="AM52" s="55" t="e">
        <f>IF(AND('Mapa final'!#REF!="Muy Baja",'Mapa final'!#REF!="Catastrófico"),CONCATENATE("R7C",'Mapa final'!#REF!),"")</f>
        <v>#REF!</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354"/>
      <c r="C53" s="354"/>
      <c r="D53" s="355"/>
      <c r="E53" s="453"/>
      <c r="F53" s="452"/>
      <c r="G53" s="452"/>
      <c r="H53" s="452"/>
      <c r="I53" s="468"/>
      <c r="J53" s="74" t="str">
        <f>IF(AND('Mapa final'!$Y$38="Muy Baja",'Mapa final'!$AA$38="Leve"),CONCATENATE("R8C",'Mapa final'!$O$38),"")</f>
        <v/>
      </c>
      <c r="K53" s="75" t="str">
        <f>IF(AND('Mapa final'!$Y$39="Muy Baja",'Mapa final'!$AA$39="Leve"),CONCATENATE("R8C",'Mapa final'!$O$39),"")</f>
        <v/>
      </c>
      <c r="L53" s="75" t="str">
        <f>IF(AND('Mapa final'!$Y$40="Muy Baja",'Mapa final'!$AA$40="Leve"),CONCATENATE("R8C",'Mapa final'!$O$40),"")</f>
        <v/>
      </c>
      <c r="M53" s="75" t="str">
        <f>IF(AND('Mapa final'!$Y$41="Muy Baja",'Mapa final'!$AA$41="Leve"),CONCATENATE("R8C",'Mapa final'!$O$41),"")</f>
        <v/>
      </c>
      <c r="N53" s="75" t="str">
        <f>IF(AND('Mapa final'!$Y$42="Muy Baja",'Mapa final'!$AA$42="Leve"),CONCATENATE("R8C",'Mapa final'!$O$42),"")</f>
        <v/>
      </c>
      <c r="O53" s="76" t="str">
        <f>IF(AND('Mapa final'!$Y$43="Muy Baja",'Mapa final'!$AA$43="Leve"),CONCATENATE("R8C",'Mapa final'!$O$43),"")</f>
        <v/>
      </c>
      <c r="P53" s="74" t="str">
        <f>IF(AND('Mapa final'!$Y$38="Muy Baja",'Mapa final'!$AA$38="Menor"),CONCATENATE("R8C",'Mapa final'!$O$38),"")</f>
        <v/>
      </c>
      <c r="Q53" s="75" t="str">
        <f>IF(AND('Mapa final'!$Y$39="Muy Baja",'Mapa final'!$AA$39="Menor"),CONCATENATE("R8C",'Mapa final'!$O$39),"")</f>
        <v/>
      </c>
      <c r="R53" s="75" t="str">
        <f>IF(AND('Mapa final'!$Y$40="Muy Baja",'Mapa final'!$AA$40="Menor"),CONCATENATE("R8C",'Mapa final'!$O$40),"")</f>
        <v/>
      </c>
      <c r="S53" s="75" t="str">
        <f>IF(AND('Mapa final'!$Y$41="Muy Baja",'Mapa final'!$AA$41="Menor"),CONCATENATE("R8C",'Mapa final'!$O$41),"")</f>
        <v/>
      </c>
      <c r="T53" s="75" t="str">
        <f>IF(AND('Mapa final'!$Y$42="Muy Baja",'Mapa final'!$AA$42="Menor"),CONCATENATE("R8C",'Mapa final'!$O$42),"")</f>
        <v/>
      </c>
      <c r="U53" s="76" t="str">
        <f>IF(AND('Mapa final'!$Y$43="Muy Baja",'Mapa final'!$AA$43="Menor"),CONCATENATE("R8C",'Mapa final'!$O$43),"")</f>
        <v/>
      </c>
      <c r="V53" s="65" t="str">
        <f>IF(AND('Mapa final'!$Y$38="Muy Baja",'Mapa final'!$AA$38="Moderado"),CONCATENATE("R8C",'Mapa final'!$O$38),"")</f>
        <v/>
      </c>
      <c r="W53" s="66" t="str">
        <f>IF(AND('Mapa final'!$Y$39="Muy Baja",'Mapa final'!$AA$39="Moderado"),CONCATENATE("R8C",'Mapa final'!$O$39),"")</f>
        <v/>
      </c>
      <c r="X53" s="66" t="str">
        <f>IF(AND('Mapa final'!$Y$40="Muy Baja",'Mapa final'!$AA$40="Moderado"),CONCATENATE("R8C",'Mapa final'!$O$40),"")</f>
        <v/>
      </c>
      <c r="Y53" s="66" t="str">
        <f>IF(AND('Mapa final'!$Y$41="Muy Baja",'Mapa final'!$AA$41="Moderado"),CONCATENATE("R8C",'Mapa final'!$O$41),"")</f>
        <v/>
      </c>
      <c r="Z53" s="66" t="str">
        <f>IF(AND('Mapa final'!$Y$42="Muy Baja",'Mapa final'!$AA$42="Moderado"),CONCATENATE("R8C",'Mapa final'!$O$42),"")</f>
        <v/>
      </c>
      <c r="AA53" s="67" t="str">
        <f>IF(AND('Mapa final'!$Y$43="Muy Baja",'Mapa final'!$AA$43="Moderado"),CONCATENATE("R8C",'Mapa final'!$O$43),"")</f>
        <v/>
      </c>
      <c r="AB53" s="50" t="str">
        <f>IF(AND('Mapa final'!$Y$38="Muy Baja",'Mapa final'!$AA$38="Mayor"),CONCATENATE("R8C",'Mapa final'!$O$38),"")</f>
        <v/>
      </c>
      <c r="AC53" s="51" t="str">
        <f>IF(AND('Mapa final'!$Y$39="Muy Baja",'Mapa final'!$AA$39="Mayor"),CONCATENATE("R8C",'Mapa final'!$O$39),"")</f>
        <v/>
      </c>
      <c r="AD53" s="51" t="str">
        <f>IF(AND('Mapa final'!$Y$40="Muy Baja",'Mapa final'!$AA$40="Mayor"),CONCATENATE("R8C",'Mapa final'!$O$40),"")</f>
        <v/>
      </c>
      <c r="AE53" s="51" t="str">
        <f>IF(AND('Mapa final'!$Y$41="Muy Baja",'Mapa final'!$AA$41="Mayor"),CONCATENATE("R8C",'Mapa final'!$O$41),"")</f>
        <v/>
      </c>
      <c r="AF53" s="51" t="str">
        <f>IF(AND('Mapa final'!$Y$42="Muy Baja",'Mapa final'!$AA$42="Mayor"),CONCATENATE("R8C",'Mapa final'!$O$42),"")</f>
        <v/>
      </c>
      <c r="AG53" s="52" t="str">
        <f>IF(AND('Mapa final'!$Y$43="Muy Baja",'Mapa final'!$AA$43="Mayor"),CONCATENATE("R8C",'Mapa final'!$O$43),"")</f>
        <v/>
      </c>
      <c r="AH53" s="53" t="str">
        <f>IF(AND('Mapa final'!$Y$38="Muy Baja",'Mapa final'!$AA$38="Catastrófico"),CONCATENATE("R8C",'Mapa final'!$O$38),"")</f>
        <v/>
      </c>
      <c r="AI53" s="54" t="str">
        <f>IF(AND('Mapa final'!$Y$39="Muy Baja",'Mapa final'!$AA$39="Catastrófico"),CONCATENATE("R8C",'Mapa final'!$O$39),"")</f>
        <v/>
      </c>
      <c r="AJ53" s="54" t="str">
        <f>IF(AND('Mapa final'!$Y$40="Muy Baja",'Mapa final'!$AA$40="Catastrófico"),CONCATENATE("R8C",'Mapa final'!$O$40),"")</f>
        <v/>
      </c>
      <c r="AK53" s="54" t="str">
        <f>IF(AND('Mapa final'!$Y$41="Muy Baja",'Mapa final'!$AA$41="Catastrófico"),CONCATENATE("R8C",'Mapa final'!$O$41),"")</f>
        <v/>
      </c>
      <c r="AL53" s="54" t="str">
        <f>IF(AND('Mapa final'!$Y$42="Muy Baja",'Mapa final'!$AA$42="Catastrófico"),CONCATENATE("R8C",'Mapa final'!$O$42),"")</f>
        <v/>
      </c>
      <c r="AM53" s="55" t="str">
        <f>IF(AND('Mapa final'!$Y$43="Muy Baja",'Mapa final'!$AA$43="Catastrófico"),CONCATENATE("R8C",'Mapa final'!$O$43),"")</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354"/>
      <c r="C54" s="354"/>
      <c r="D54" s="355"/>
      <c r="E54" s="453"/>
      <c r="F54" s="452"/>
      <c r="G54" s="452"/>
      <c r="H54" s="452"/>
      <c r="I54" s="468"/>
      <c r="J54" s="74" t="str">
        <f>IF(AND('Mapa final'!$Y$44="Muy Baja",'Mapa final'!$AA$44="Leve"),CONCATENATE("R9C",'Mapa final'!$O$44),"")</f>
        <v/>
      </c>
      <c r="K54" s="75" t="str">
        <f>IF(AND('Mapa final'!$Y$45="Muy Baja",'Mapa final'!$AA$45="Leve"),CONCATENATE("R9C",'Mapa final'!$O$45),"")</f>
        <v/>
      </c>
      <c r="L54" s="75" t="str">
        <f>IF(AND('Mapa final'!$Y$46="Muy Baja",'Mapa final'!$AA$46="Leve"),CONCATENATE("R9C",'Mapa final'!$O$46),"")</f>
        <v/>
      </c>
      <c r="M54" s="75" t="str">
        <f>IF(AND('Mapa final'!$Y$47="Muy Baja",'Mapa final'!$AA$47="Leve"),CONCATENATE("R9C",'Mapa final'!$O$47),"")</f>
        <v/>
      </c>
      <c r="N54" s="75" t="str">
        <f>IF(AND('Mapa final'!$Y$48="Muy Baja",'Mapa final'!$AA$48="Leve"),CONCATENATE("R9C",'Mapa final'!$O$48),"")</f>
        <v/>
      </c>
      <c r="O54" s="76" t="str">
        <f>IF(AND('Mapa final'!$Y$49="Muy Baja",'Mapa final'!$AA$49="Leve"),CONCATENATE("R9C",'Mapa final'!$O$49),"")</f>
        <v/>
      </c>
      <c r="P54" s="74" t="str">
        <f>IF(AND('Mapa final'!$Y$44="Muy Baja",'Mapa final'!$AA$44="Menor"),CONCATENATE("R9C",'Mapa final'!$O$44),"")</f>
        <v/>
      </c>
      <c r="Q54" s="75" t="str">
        <f>IF(AND('Mapa final'!$Y$45="Muy Baja",'Mapa final'!$AA$45="Menor"),CONCATENATE("R9C",'Mapa final'!$O$45),"")</f>
        <v/>
      </c>
      <c r="R54" s="75" t="str">
        <f>IF(AND('Mapa final'!$Y$46="Muy Baja",'Mapa final'!$AA$46="Menor"),CONCATENATE("R9C",'Mapa final'!$O$46),"")</f>
        <v/>
      </c>
      <c r="S54" s="75" t="str">
        <f>IF(AND('Mapa final'!$Y$47="Muy Baja",'Mapa final'!$AA$47="Menor"),CONCATENATE("R9C",'Mapa final'!$O$47),"")</f>
        <v/>
      </c>
      <c r="T54" s="75" t="str">
        <f>IF(AND('Mapa final'!$Y$48="Muy Baja",'Mapa final'!$AA$48="Menor"),CONCATENATE("R9C",'Mapa final'!$O$48),"")</f>
        <v/>
      </c>
      <c r="U54" s="76" t="str">
        <f>IF(AND('Mapa final'!$Y$49="Muy Baja",'Mapa final'!$AA$49="Menor"),CONCATENATE("R9C",'Mapa final'!$O$49),"")</f>
        <v/>
      </c>
      <c r="V54" s="65" t="str">
        <f>IF(AND('Mapa final'!$Y$44="Muy Baja",'Mapa final'!$AA$44="Moderado"),CONCATENATE("R9C",'Mapa final'!$O$44),"")</f>
        <v/>
      </c>
      <c r="W54" s="66" t="str">
        <f>IF(AND('Mapa final'!$Y$45="Muy Baja",'Mapa final'!$AA$45="Moderado"),CONCATENATE("R9C",'Mapa final'!$O$45),"")</f>
        <v/>
      </c>
      <c r="X54" s="66" t="str">
        <f>IF(AND('Mapa final'!$Y$46="Muy Baja",'Mapa final'!$AA$46="Moderado"),CONCATENATE("R9C",'Mapa final'!$O$46),"")</f>
        <v/>
      </c>
      <c r="Y54" s="66" t="str">
        <f>IF(AND('Mapa final'!$Y$47="Muy Baja",'Mapa final'!$AA$47="Moderado"),CONCATENATE("R9C",'Mapa final'!$O$47),"")</f>
        <v/>
      </c>
      <c r="Z54" s="66" t="str">
        <f>IF(AND('Mapa final'!$Y$48="Muy Baja",'Mapa final'!$AA$48="Moderado"),CONCATENATE("R9C",'Mapa final'!$O$48),"")</f>
        <v/>
      </c>
      <c r="AA54" s="67" t="str">
        <f>IF(AND('Mapa final'!$Y$49="Muy Baja",'Mapa final'!$AA$49="Moderado"),CONCATENATE("R9C",'Mapa final'!$O$49),"")</f>
        <v/>
      </c>
      <c r="AB54" s="50" t="str">
        <f>IF(AND('Mapa final'!$Y$44="Muy Baja",'Mapa final'!$AA$44="Mayor"),CONCATENATE("R9C",'Mapa final'!$O$44),"")</f>
        <v/>
      </c>
      <c r="AC54" s="51" t="str">
        <f>IF(AND('Mapa final'!$Y$45="Muy Baja",'Mapa final'!$AA$45="Mayor"),CONCATENATE("R9C",'Mapa final'!$O$45),"")</f>
        <v/>
      </c>
      <c r="AD54" s="51" t="str">
        <f>IF(AND('Mapa final'!$Y$46="Muy Baja",'Mapa final'!$AA$46="Mayor"),CONCATENATE("R9C",'Mapa final'!$O$46),"")</f>
        <v/>
      </c>
      <c r="AE54" s="51" t="str">
        <f>IF(AND('Mapa final'!$Y$47="Muy Baja",'Mapa final'!$AA$47="Mayor"),CONCATENATE("R9C",'Mapa final'!$O$47),"")</f>
        <v/>
      </c>
      <c r="AF54" s="51" t="str">
        <f>IF(AND('Mapa final'!$Y$48="Muy Baja",'Mapa final'!$AA$48="Mayor"),CONCATENATE("R9C",'Mapa final'!$O$48),"")</f>
        <v/>
      </c>
      <c r="AG54" s="52" t="str">
        <f>IF(AND('Mapa final'!$Y$49="Muy Baja",'Mapa final'!$AA$49="Mayor"),CONCATENATE("R9C",'Mapa final'!$O$49),"")</f>
        <v/>
      </c>
      <c r="AH54" s="53" t="str">
        <f>IF(AND('Mapa final'!$Y$44="Muy Baja",'Mapa final'!$AA$44="Catastrófico"),CONCATENATE("R9C",'Mapa final'!$O$44),"")</f>
        <v/>
      </c>
      <c r="AI54" s="54" t="str">
        <f>IF(AND('Mapa final'!$Y$45="Muy Baja",'Mapa final'!$AA$45="Catastrófico"),CONCATENATE("R9C",'Mapa final'!$O$45),"")</f>
        <v/>
      </c>
      <c r="AJ54" s="54" t="str">
        <f>IF(AND('Mapa final'!$Y$46="Muy Baja",'Mapa final'!$AA$46="Catastrófico"),CONCATENATE("R9C",'Mapa final'!$O$46),"")</f>
        <v/>
      </c>
      <c r="AK54" s="54" t="str">
        <f>IF(AND('Mapa final'!$Y$47="Muy Baja",'Mapa final'!$AA$47="Catastrófico"),CONCATENATE("R9C",'Mapa final'!$O$47),"")</f>
        <v/>
      </c>
      <c r="AL54" s="54" t="str">
        <f>IF(AND('Mapa final'!$Y$48="Muy Baja",'Mapa final'!$AA$48="Catastrófico"),CONCATENATE("R9C",'Mapa final'!$O$48),"")</f>
        <v/>
      </c>
      <c r="AM54" s="55" t="str">
        <f>IF(AND('Mapa final'!$Y$49="Muy Baja",'Mapa final'!$AA$49="Catastrófico"),CONCATENATE("R9C",'Mapa final'!$O$49),"")</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354"/>
      <c r="C55" s="354"/>
      <c r="D55" s="355"/>
      <c r="E55" s="454"/>
      <c r="F55" s="455"/>
      <c r="G55" s="455"/>
      <c r="H55" s="455"/>
      <c r="I55" s="469"/>
      <c r="J55" s="77" t="str">
        <f>IF(AND('Mapa final'!$Y$50="Muy Baja",'Mapa final'!$AA$50="Leve"),CONCATENATE("R10C",'Mapa final'!$O$50),"")</f>
        <v/>
      </c>
      <c r="K55" s="78" t="str">
        <f>IF(AND('Mapa final'!$Y$51="Muy Baja",'Mapa final'!$AA$51="Leve"),CONCATENATE("R10C",'Mapa final'!$O$51),"")</f>
        <v/>
      </c>
      <c r="L55" s="78" t="str">
        <f>IF(AND('Mapa final'!$Y$52="Muy Baja",'Mapa final'!$AA$52="Leve"),CONCATENATE("R10C",'Mapa final'!$O$52),"")</f>
        <v/>
      </c>
      <c r="M55" s="78" t="str">
        <f>IF(AND('Mapa final'!$Y$53="Muy Baja",'Mapa final'!$AA$53="Leve"),CONCATENATE("R10C",'Mapa final'!$O$53),"")</f>
        <v/>
      </c>
      <c r="N55" s="78" t="str">
        <f>IF(AND('Mapa final'!$Y$54="Muy Baja",'Mapa final'!$AA$54="Leve"),CONCATENATE("R10C",'Mapa final'!$O$54),"")</f>
        <v/>
      </c>
      <c r="O55" s="79" t="e">
        <f>IF(AND('Mapa final'!#REF!="Muy Baja",'Mapa final'!#REF!="Leve"),CONCATENATE("R10C",'Mapa final'!#REF!),"")</f>
        <v>#REF!</v>
      </c>
      <c r="P55" s="77" t="str">
        <f>IF(AND('Mapa final'!$Y$50="Muy Baja",'Mapa final'!$AA$50="Menor"),CONCATENATE("R10C",'Mapa final'!$O$50),"")</f>
        <v/>
      </c>
      <c r="Q55" s="78" t="str">
        <f>IF(AND('Mapa final'!$Y$51="Muy Baja",'Mapa final'!$AA$51="Menor"),CONCATENATE("R10C",'Mapa final'!$O$51),"")</f>
        <v/>
      </c>
      <c r="R55" s="78" t="str">
        <f>IF(AND('Mapa final'!$Y$52="Muy Baja",'Mapa final'!$AA$52="Menor"),CONCATENATE("R10C",'Mapa final'!$O$52),"")</f>
        <v/>
      </c>
      <c r="S55" s="78" t="str">
        <f>IF(AND('Mapa final'!$Y$53="Muy Baja",'Mapa final'!$AA$53="Menor"),CONCATENATE("R10C",'Mapa final'!$O$53),"")</f>
        <v/>
      </c>
      <c r="T55" s="78" t="str">
        <f>IF(AND('Mapa final'!$Y$54="Muy Baja",'Mapa final'!$AA$54="Menor"),CONCATENATE("R10C",'Mapa final'!$O$54),"")</f>
        <v/>
      </c>
      <c r="U55" s="79" t="e">
        <f>IF(AND('Mapa final'!#REF!="Muy Baja",'Mapa final'!#REF!="Menor"),CONCATENATE("R10C",'Mapa final'!#REF!),"")</f>
        <v>#REF!</v>
      </c>
      <c r="V55" s="68" t="str">
        <f>IF(AND('Mapa final'!$Y$50="Muy Baja",'Mapa final'!$AA$50="Moderado"),CONCATENATE("R10C",'Mapa final'!$O$50),"")</f>
        <v/>
      </c>
      <c r="W55" s="69" t="str">
        <f>IF(AND('Mapa final'!$Y$51="Muy Baja",'Mapa final'!$AA$51="Moderado"),CONCATENATE("R10C",'Mapa final'!$O$51),"")</f>
        <v/>
      </c>
      <c r="X55" s="69" t="str">
        <f>IF(AND('Mapa final'!$Y$52="Muy Baja",'Mapa final'!$AA$52="Moderado"),CONCATENATE("R10C",'Mapa final'!$O$52),"")</f>
        <v/>
      </c>
      <c r="Y55" s="69" t="str">
        <f>IF(AND('Mapa final'!$Y$53="Muy Baja",'Mapa final'!$AA$53="Moderado"),CONCATENATE("R10C",'Mapa final'!$O$53),"")</f>
        <v/>
      </c>
      <c r="Z55" s="69" t="str">
        <f>IF(AND('Mapa final'!$Y$54="Muy Baja",'Mapa final'!$AA$54="Moderado"),CONCATENATE("R10C",'Mapa final'!$O$54),"")</f>
        <v/>
      </c>
      <c r="AA55" s="70" t="e">
        <f>IF(AND('Mapa final'!#REF!="Muy Baja",'Mapa final'!#REF!="Moderado"),CONCATENATE("R10C",'Mapa final'!#REF!),"")</f>
        <v>#REF!</v>
      </c>
      <c r="AB55" s="56" t="str">
        <f>IF(AND('Mapa final'!$Y$50="Muy Baja",'Mapa final'!$AA$50="Mayor"),CONCATENATE("R10C",'Mapa final'!$O$50),"")</f>
        <v/>
      </c>
      <c r="AC55" s="57" t="str">
        <f>IF(AND('Mapa final'!$Y$51="Muy Baja",'Mapa final'!$AA$51="Mayor"),CONCATENATE("R10C",'Mapa final'!$O$51),"")</f>
        <v/>
      </c>
      <c r="AD55" s="57" t="str">
        <f>IF(AND('Mapa final'!$Y$52="Muy Baja",'Mapa final'!$AA$52="Mayor"),CONCATENATE("R10C",'Mapa final'!$O$52),"")</f>
        <v/>
      </c>
      <c r="AE55" s="57" t="str">
        <f>IF(AND('Mapa final'!$Y$53="Muy Baja",'Mapa final'!$AA$53="Mayor"),CONCATENATE("R10C",'Mapa final'!$O$53),"")</f>
        <v/>
      </c>
      <c r="AF55" s="57" t="str">
        <f>IF(AND('Mapa final'!$Y$54="Muy Baja",'Mapa final'!$AA$54="Mayor"),CONCATENATE("R10C",'Mapa final'!$O$54),"")</f>
        <v/>
      </c>
      <c r="AG55" s="58" t="e">
        <f>IF(AND('Mapa final'!#REF!="Muy Baja",'Mapa final'!#REF!="Mayor"),CONCATENATE("R10C",'Mapa final'!#REF!),"")</f>
        <v>#REF!</v>
      </c>
      <c r="AH55" s="59" t="str">
        <f>IF(AND('Mapa final'!$Y$50="Muy Baja",'Mapa final'!$AA$50="Catastrófico"),CONCATENATE("R10C",'Mapa final'!$O$50),"")</f>
        <v/>
      </c>
      <c r="AI55" s="60" t="str">
        <f>IF(AND('Mapa final'!$Y$51="Muy Baja",'Mapa final'!$AA$51="Catastrófico"),CONCATENATE("R10C",'Mapa final'!$O$51),"")</f>
        <v/>
      </c>
      <c r="AJ55" s="60" t="str">
        <f>IF(AND('Mapa final'!$Y$52="Muy Baja",'Mapa final'!$AA$52="Catastrófico"),CONCATENATE("R10C",'Mapa final'!$O$52),"")</f>
        <v/>
      </c>
      <c r="AK55" s="60" t="str">
        <f>IF(AND('Mapa final'!$Y$53="Muy Baja",'Mapa final'!$AA$53="Catastrófico"),CONCATENATE("R10C",'Mapa final'!$O$53),"")</f>
        <v/>
      </c>
      <c r="AL55" s="60" t="str">
        <f>IF(AND('Mapa final'!$Y$54="Muy Baja",'Mapa final'!$AA$54="Catastrófico"),CONCATENATE("R10C",'Mapa final'!$O$54),"")</f>
        <v/>
      </c>
      <c r="AM55" s="61" t="e">
        <f>IF(AND('Mapa final'!#REF!="Muy Baja",'Mapa final'!#REF!="Catastrófico"),CONCATENATE("R10C",'Mapa final'!#REF!),"")</f>
        <v>#REF!</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449" t="s">
        <v>193</v>
      </c>
      <c r="K56" s="450"/>
      <c r="L56" s="450"/>
      <c r="M56" s="450"/>
      <c r="N56" s="450"/>
      <c r="O56" s="467"/>
      <c r="P56" s="449" t="s">
        <v>194</v>
      </c>
      <c r="Q56" s="450"/>
      <c r="R56" s="450"/>
      <c r="S56" s="450"/>
      <c r="T56" s="450"/>
      <c r="U56" s="467"/>
      <c r="V56" s="449" t="s">
        <v>195</v>
      </c>
      <c r="W56" s="450"/>
      <c r="X56" s="450"/>
      <c r="Y56" s="450"/>
      <c r="Z56" s="450"/>
      <c r="AA56" s="467"/>
      <c r="AB56" s="449" t="s">
        <v>196</v>
      </c>
      <c r="AC56" s="488"/>
      <c r="AD56" s="450"/>
      <c r="AE56" s="450"/>
      <c r="AF56" s="450"/>
      <c r="AG56" s="467"/>
      <c r="AH56" s="449" t="s">
        <v>197</v>
      </c>
      <c r="AI56" s="450"/>
      <c r="AJ56" s="450"/>
      <c r="AK56" s="450"/>
      <c r="AL56" s="450"/>
      <c r="AM56" s="467"/>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453"/>
      <c r="K57" s="452"/>
      <c r="L57" s="452"/>
      <c r="M57" s="452"/>
      <c r="N57" s="452"/>
      <c r="O57" s="468"/>
      <c r="P57" s="453"/>
      <c r="Q57" s="452"/>
      <c r="R57" s="452"/>
      <c r="S57" s="452"/>
      <c r="T57" s="452"/>
      <c r="U57" s="468"/>
      <c r="V57" s="453"/>
      <c r="W57" s="452"/>
      <c r="X57" s="452"/>
      <c r="Y57" s="452"/>
      <c r="Z57" s="452"/>
      <c r="AA57" s="468"/>
      <c r="AB57" s="453"/>
      <c r="AC57" s="452"/>
      <c r="AD57" s="452"/>
      <c r="AE57" s="452"/>
      <c r="AF57" s="452"/>
      <c r="AG57" s="468"/>
      <c r="AH57" s="453"/>
      <c r="AI57" s="452"/>
      <c r="AJ57" s="452"/>
      <c r="AK57" s="452"/>
      <c r="AL57" s="452"/>
      <c r="AM57" s="468"/>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453"/>
      <c r="K58" s="452"/>
      <c r="L58" s="452"/>
      <c r="M58" s="452"/>
      <c r="N58" s="452"/>
      <c r="O58" s="468"/>
      <c r="P58" s="453"/>
      <c r="Q58" s="452"/>
      <c r="R58" s="452"/>
      <c r="S58" s="452"/>
      <c r="T58" s="452"/>
      <c r="U58" s="468"/>
      <c r="V58" s="453"/>
      <c r="W58" s="452"/>
      <c r="X58" s="452"/>
      <c r="Y58" s="452"/>
      <c r="Z58" s="452"/>
      <c r="AA58" s="468"/>
      <c r="AB58" s="453"/>
      <c r="AC58" s="452"/>
      <c r="AD58" s="452"/>
      <c r="AE58" s="452"/>
      <c r="AF58" s="452"/>
      <c r="AG58" s="468"/>
      <c r="AH58" s="453"/>
      <c r="AI58" s="452"/>
      <c r="AJ58" s="452"/>
      <c r="AK58" s="452"/>
      <c r="AL58" s="452"/>
      <c r="AM58" s="468"/>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453"/>
      <c r="K59" s="452"/>
      <c r="L59" s="452"/>
      <c r="M59" s="452"/>
      <c r="N59" s="452"/>
      <c r="O59" s="468"/>
      <c r="P59" s="453"/>
      <c r="Q59" s="452"/>
      <c r="R59" s="452"/>
      <c r="S59" s="452"/>
      <c r="T59" s="452"/>
      <c r="U59" s="468"/>
      <c r="V59" s="453"/>
      <c r="W59" s="452"/>
      <c r="X59" s="452"/>
      <c r="Y59" s="452"/>
      <c r="Z59" s="452"/>
      <c r="AA59" s="468"/>
      <c r="AB59" s="453"/>
      <c r="AC59" s="452"/>
      <c r="AD59" s="452"/>
      <c r="AE59" s="452"/>
      <c r="AF59" s="452"/>
      <c r="AG59" s="468"/>
      <c r="AH59" s="453"/>
      <c r="AI59" s="452"/>
      <c r="AJ59" s="452"/>
      <c r="AK59" s="452"/>
      <c r="AL59" s="452"/>
      <c r="AM59" s="468"/>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453"/>
      <c r="K60" s="452"/>
      <c r="L60" s="452"/>
      <c r="M60" s="452"/>
      <c r="N60" s="452"/>
      <c r="O60" s="468"/>
      <c r="P60" s="453"/>
      <c r="Q60" s="452"/>
      <c r="R60" s="452"/>
      <c r="S60" s="452"/>
      <c r="T60" s="452"/>
      <c r="U60" s="468"/>
      <c r="V60" s="453"/>
      <c r="W60" s="452"/>
      <c r="X60" s="452"/>
      <c r="Y60" s="452"/>
      <c r="Z60" s="452"/>
      <c r="AA60" s="468"/>
      <c r="AB60" s="453"/>
      <c r="AC60" s="452"/>
      <c r="AD60" s="452"/>
      <c r="AE60" s="452"/>
      <c r="AF60" s="452"/>
      <c r="AG60" s="468"/>
      <c r="AH60" s="453"/>
      <c r="AI60" s="452"/>
      <c r="AJ60" s="452"/>
      <c r="AK60" s="452"/>
      <c r="AL60" s="452"/>
      <c r="AM60" s="468"/>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454"/>
      <c r="K61" s="455"/>
      <c r="L61" s="455"/>
      <c r="M61" s="455"/>
      <c r="N61" s="455"/>
      <c r="O61" s="469"/>
      <c r="P61" s="454"/>
      <c r="Q61" s="455"/>
      <c r="R61" s="455"/>
      <c r="S61" s="455"/>
      <c r="T61" s="455"/>
      <c r="U61" s="469"/>
      <c r="V61" s="454"/>
      <c r="W61" s="455"/>
      <c r="X61" s="455"/>
      <c r="Y61" s="455"/>
      <c r="Z61" s="455"/>
      <c r="AA61" s="469"/>
      <c r="AB61" s="454"/>
      <c r="AC61" s="455"/>
      <c r="AD61" s="455"/>
      <c r="AE61" s="455"/>
      <c r="AF61" s="455"/>
      <c r="AG61" s="469"/>
      <c r="AH61" s="454"/>
      <c r="AI61" s="455"/>
      <c r="AJ61" s="455"/>
      <c r="AK61" s="455"/>
      <c r="AL61" s="455"/>
      <c r="AM61" s="469"/>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1"/>
      <c r="AV63" s="81"/>
      <c r="AW63" s="81"/>
      <c r="AX63" s="81"/>
      <c r="AY63" s="81"/>
      <c r="AZ63" s="81"/>
      <c r="BA63" s="81"/>
      <c r="BB63" s="81"/>
      <c r="BC63" s="81"/>
      <c r="BD63" s="81"/>
      <c r="BE63" s="81"/>
      <c r="BF63" s="81"/>
      <c r="BG63" s="81"/>
      <c r="BH63" s="81"/>
    </row>
    <row r="64" spans="1:80" ht="15" customHeight="1" x14ac:dyDescent="0.25">
      <c r="A64" s="81"/>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8" sqref="C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489" t="s">
        <v>199</v>
      </c>
      <c r="C1" s="489"/>
      <c r="D1" s="489"/>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200</v>
      </c>
      <c r="D3" s="11" t="s">
        <v>183</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201</v>
      </c>
      <c r="C4" s="13" t="s">
        <v>202</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203</v>
      </c>
      <c r="C5" s="16" t="s">
        <v>204</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205</v>
      </c>
      <c r="C6" s="16" t="s">
        <v>206</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207</v>
      </c>
      <c r="C7" s="16" t="s">
        <v>208</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209</v>
      </c>
      <c r="C8" s="16" t="s">
        <v>210</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5"/>
      <c r="C9" s="105"/>
      <c r="D9" s="105"/>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6"/>
      <c r="C10" s="105"/>
      <c r="D10" s="105"/>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5"/>
      <c r="C11" s="105"/>
      <c r="D11" s="105"/>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5"/>
      <c r="C12" s="105"/>
      <c r="D12" s="105"/>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5"/>
      <c r="C13" s="105"/>
      <c r="D13" s="105"/>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5"/>
      <c r="C14" s="105"/>
      <c r="D14" s="105"/>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5"/>
      <c r="C15" s="105"/>
      <c r="D15" s="105"/>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5"/>
      <c r="C16" s="105"/>
      <c r="D16" s="105"/>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5"/>
      <c r="C17" s="105"/>
      <c r="D17" s="105"/>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5"/>
      <c r="C18" s="105"/>
      <c r="D18" s="105"/>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E4" sqref="D4:E4"/>
    </sheetView>
  </sheetViews>
  <sheetFormatPr baseColWidth="10" defaultColWidth="11.42578125" defaultRowHeight="15" x14ac:dyDescent="0.25"/>
  <cols>
    <col min="1" max="1" width="5.42578125" customWidth="1"/>
    <col min="2" max="2" width="40.42578125" customWidth="1"/>
    <col min="3" max="3" width="69.5703125" customWidth="1"/>
    <col min="4" max="4" width="135" bestFit="1" customWidth="1"/>
    <col min="5" max="5" width="56.140625" customWidth="1"/>
  </cols>
  <sheetData>
    <row r="1" spans="1:21" ht="33.75" x14ac:dyDescent="0.25">
      <c r="A1" s="81"/>
      <c r="B1" s="490" t="s">
        <v>211</v>
      </c>
      <c r="C1" s="490"/>
      <c r="D1" s="490"/>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60" x14ac:dyDescent="0.25">
      <c r="A3" s="81"/>
      <c r="B3" s="102"/>
      <c r="C3" s="34" t="s">
        <v>212</v>
      </c>
      <c r="D3" s="34" t="s">
        <v>213</v>
      </c>
      <c r="E3" s="34" t="s">
        <v>214</v>
      </c>
      <c r="F3" s="81"/>
      <c r="G3" s="81"/>
      <c r="H3" s="81"/>
      <c r="I3" s="81"/>
      <c r="J3" s="81"/>
      <c r="K3" s="81"/>
      <c r="L3" s="81"/>
      <c r="M3" s="81"/>
      <c r="N3" s="81"/>
      <c r="O3" s="81"/>
      <c r="P3" s="81"/>
      <c r="Q3" s="81"/>
      <c r="R3" s="81"/>
      <c r="S3" s="81"/>
      <c r="T3" s="81"/>
      <c r="U3" s="81"/>
    </row>
    <row r="4" spans="1:21" ht="33.75" x14ac:dyDescent="0.25">
      <c r="A4" s="101" t="s">
        <v>215</v>
      </c>
      <c r="B4" s="37" t="s">
        <v>216</v>
      </c>
      <c r="C4" s="42" t="s">
        <v>217</v>
      </c>
      <c r="D4" s="35" t="s">
        <v>218</v>
      </c>
      <c r="E4" s="35" t="s">
        <v>219</v>
      </c>
      <c r="F4" s="81"/>
      <c r="G4" s="81"/>
      <c r="H4" s="81"/>
      <c r="I4" s="81"/>
      <c r="J4" s="81"/>
      <c r="K4" s="81"/>
      <c r="L4" s="81"/>
      <c r="M4" s="81"/>
      <c r="N4" s="81"/>
      <c r="O4" s="81"/>
      <c r="P4" s="81"/>
      <c r="Q4" s="81"/>
      <c r="R4" s="81"/>
      <c r="S4" s="81"/>
      <c r="T4" s="81"/>
      <c r="U4" s="81"/>
    </row>
    <row r="5" spans="1:21" ht="67.5" x14ac:dyDescent="0.25">
      <c r="A5" s="101" t="s">
        <v>220</v>
      </c>
      <c r="B5" s="38" t="s">
        <v>221</v>
      </c>
      <c r="C5" s="43" t="s">
        <v>222</v>
      </c>
      <c r="D5" s="36" t="s">
        <v>223</v>
      </c>
      <c r="E5" s="36" t="s">
        <v>224</v>
      </c>
      <c r="F5" s="81"/>
      <c r="G5" s="81"/>
      <c r="H5" s="81"/>
      <c r="I5" s="81"/>
      <c r="J5" s="81"/>
      <c r="K5" s="81"/>
      <c r="L5" s="81"/>
      <c r="M5" s="81"/>
      <c r="N5" s="81"/>
      <c r="O5" s="81"/>
      <c r="P5" s="81"/>
      <c r="Q5" s="81"/>
      <c r="R5" s="81"/>
      <c r="S5" s="81"/>
      <c r="T5" s="81"/>
      <c r="U5" s="81"/>
    </row>
    <row r="6" spans="1:21" ht="67.5" x14ac:dyDescent="0.25">
      <c r="A6" s="101" t="s">
        <v>189</v>
      </c>
      <c r="B6" s="39" t="s">
        <v>225</v>
      </c>
      <c r="C6" s="43" t="s">
        <v>226</v>
      </c>
      <c r="D6" s="36" t="s">
        <v>227</v>
      </c>
      <c r="E6" s="36" t="s">
        <v>228</v>
      </c>
      <c r="F6" s="81"/>
      <c r="G6" s="81"/>
      <c r="H6" s="81"/>
      <c r="I6" s="81"/>
      <c r="J6" s="81"/>
      <c r="K6" s="81"/>
      <c r="L6" s="81"/>
      <c r="M6" s="81"/>
      <c r="N6" s="81"/>
      <c r="O6" s="81"/>
      <c r="P6" s="81"/>
      <c r="Q6" s="81"/>
      <c r="R6" s="81"/>
      <c r="S6" s="81"/>
      <c r="T6" s="81"/>
      <c r="U6" s="81"/>
    </row>
    <row r="7" spans="1:21" ht="101.25" x14ac:dyDescent="0.25">
      <c r="A7" s="101" t="s">
        <v>229</v>
      </c>
      <c r="B7" s="40" t="s">
        <v>230</v>
      </c>
      <c r="C7" s="43" t="s">
        <v>231</v>
      </c>
      <c r="D7" s="36" t="s">
        <v>232</v>
      </c>
      <c r="E7" s="36" t="s">
        <v>233</v>
      </c>
      <c r="F7" s="81"/>
      <c r="G7" s="81"/>
      <c r="H7" s="81"/>
      <c r="I7" s="81"/>
      <c r="J7" s="81"/>
      <c r="K7" s="81"/>
      <c r="L7" s="81"/>
      <c r="M7" s="81"/>
      <c r="N7" s="81"/>
      <c r="O7" s="81"/>
      <c r="P7" s="81"/>
      <c r="Q7" s="81"/>
      <c r="R7" s="81"/>
      <c r="S7" s="81"/>
      <c r="T7" s="81"/>
      <c r="U7" s="81"/>
    </row>
    <row r="8" spans="1:21" ht="67.5" x14ac:dyDescent="0.25">
      <c r="A8" s="101" t="s">
        <v>234</v>
      </c>
      <c r="B8" s="41" t="s">
        <v>235</v>
      </c>
      <c r="C8" s="43" t="s">
        <v>236</v>
      </c>
      <c r="D8" s="36" t="s">
        <v>237</v>
      </c>
      <c r="E8" s="36" t="s">
        <v>238</v>
      </c>
      <c r="F8" s="81"/>
      <c r="G8" s="81"/>
      <c r="H8" s="81"/>
      <c r="I8" s="81"/>
      <c r="J8" s="81"/>
      <c r="K8" s="81"/>
      <c r="L8" s="81"/>
      <c r="M8" s="81"/>
      <c r="N8" s="81"/>
      <c r="O8" s="81"/>
      <c r="P8" s="81"/>
      <c r="Q8" s="81"/>
      <c r="R8" s="81"/>
      <c r="S8" s="81"/>
      <c r="T8" s="81"/>
      <c r="U8" s="81"/>
    </row>
    <row r="9" spans="1:21" ht="20.25" x14ac:dyDescent="0.25">
      <c r="A9" s="101"/>
      <c r="B9" s="101"/>
      <c r="C9" s="103"/>
      <c r="D9" s="103"/>
      <c r="E9" s="81"/>
      <c r="F9" s="81"/>
      <c r="G9" s="81"/>
      <c r="H9" s="81"/>
      <c r="I9" s="81"/>
      <c r="J9" s="81"/>
      <c r="K9" s="81"/>
      <c r="L9" s="81"/>
      <c r="M9" s="81"/>
      <c r="N9" s="81"/>
      <c r="O9" s="81"/>
      <c r="P9" s="81"/>
      <c r="Q9" s="81"/>
      <c r="R9" s="81"/>
      <c r="S9" s="81"/>
      <c r="T9" s="81"/>
      <c r="U9" s="81"/>
    </row>
    <row r="10" spans="1:21" ht="16.5" x14ac:dyDescent="0.25">
      <c r="A10" s="101"/>
      <c r="B10" s="104"/>
      <c r="C10" s="104"/>
      <c r="D10" s="104"/>
      <c r="E10" s="81"/>
      <c r="F10" s="81"/>
      <c r="G10" s="81"/>
      <c r="H10" s="81"/>
      <c r="I10" s="81"/>
      <c r="J10" s="81"/>
      <c r="K10" s="81"/>
      <c r="L10" s="81"/>
      <c r="M10" s="81"/>
      <c r="N10" s="81"/>
      <c r="O10" s="81"/>
      <c r="P10" s="81"/>
      <c r="Q10" s="81"/>
      <c r="R10" s="81"/>
      <c r="S10" s="81"/>
      <c r="T10" s="81"/>
      <c r="U10" s="81"/>
    </row>
    <row r="11" spans="1:21" x14ac:dyDescent="0.25">
      <c r="A11" s="101"/>
      <c r="B11" s="101" t="s">
        <v>239</v>
      </c>
      <c r="C11" s="101" t="s">
        <v>240</v>
      </c>
      <c r="D11" s="101" t="s">
        <v>155</v>
      </c>
      <c r="E11" s="81"/>
      <c r="F11" s="81"/>
      <c r="G11" s="81"/>
      <c r="H11" s="81"/>
      <c r="I11" s="81"/>
      <c r="J11" s="81"/>
      <c r="K11" s="81"/>
      <c r="L11" s="81"/>
      <c r="M11" s="81"/>
      <c r="N11" s="81"/>
      <c r="O11" s="81"/>
      <c r="P11" s="81"/>
      <c r="Q11" s="81"/>
      <c r="R11" s="81"/>
      <c r="S11" s="81"/>
      <c r="T11" s="81"/>
      <c r="U11" s="81"/>
    </row>
    <row r="12" spans="1:21" x14ac:dyDescent="0.25">
      <c r="A12" s="101"/>
      <c r="B12" s="101" t="s">
        <v>241</v>
      </c>
      <c r="C12" s="101" t="s">
        <v>242</v>
      </c>
      <c r="D12" s="101" t="s">
        <v>142</v>
      </c>
      <c r="E12" s="81"/>
      <c r="F12" s="81"/>
      <c r="G12" s="81"/>
      <c r="H12" s="81"/>
      <c r="I12" s="81"/>
      <c r="J12" s="81"/>
      <c r="K12" s="81"/>
      <c r="L12" s="81"/>
      <c r="M12" s="81"/>
      <c r="N12" s="81"/>
      <c r="O12" s="81"/>
      <c r="P12" s="81"/>
      <c r="Q12" s="81"/>
      <c r="R12" s="81"/>
      <c r="S12" s="81"/>
      <c r="T12" s="81"/>
      <c r="U12" s="81"/>
    </row>
    <row r="13" spans="1:21" x14ac:dyDescent="0.25">
      <c r="A13" s="101"/>
      <c r="B13" s="101"/>
      <c r="C13" s="101" t="s">
        <v>243</v>
      </c>
      <c r="D13" s="101" t="s">
        <v>160</v>
      </c>
      <c r="E13" s="81"/>
      <c r="F13" s="81"/>
      <c r="G13" s="81"/>
      <c r="H13" s="81"/>
      <c r="I13" s="81"/>
      <c r="J13" s="81"/>
      <c r="K13" s="81"/>
      <c r="L13" s="81"/>
      <c r="M13" s="81"/>
      <c r="N13" s="81"/>
      <c r="O13" s="81"/>
      <c r="P13" s="81"/>
      <c r="Q13" s="81"/>
      <c r="R13" s="81"/>
      <c r="S13" s="81"/>
      <c r="T13" s="81"/>
      <c r="U13" s="81"/>
    </row>
    <row r="14" spans="1:21" x14ac:dyDescent="0.25">
      <c r="A14" s="101"/>
      <c r="B14" s="101"/>
      <c r="C14" s="101" t="s">
        <v>244</v>
      </c>
      <c r="D14" s="101" t="s">
        <v>245</v>
      </c>
      <c r="E14" s="81"/>
      <c r="F14" s="81"/>
      <c r="G14" s="81"/>
      <c r="H14" s="81"/>
      <c r="I14" s="81"/>
      <c r="J14" s="81"/>
      <c r="K14" s="81"/>
      <c r="L14" s="81"/>
      <c r="M14" s="81"/>
      <c r="N14" s="81"/>
      <c r="O14" s="81"/>
      <c r="P14" s="81"/>
      <c r="Q14" s="81"/>
      <c r="R14" s="81"/>
      <c r="S14" s="81"/>
      <c r="T14" s="81"/>
      <c r="U14" s="81"/>
    </row>
    <row r="15" spans="1:21" x14ac:dyDescent="0.25">
      <c r="A15" s="101"/>
      <c r="B15" s="101"/>
      <c r="C15" s="101" t="s">
        <v>246</v>
      </c>
      <c r="D15" s="101" t="s">
        <v>247</v>
      </c>
      <c r="E15" s="81"/>
      <c r="F15" s="81"/>
      <c r="G15" s="81"/>
      <c r="H15" s="81"/>
      <c r="I15" s="81"/>
      <c r="J15" s="81"/>
      <c r="K15" s="81"/>
      <c r="L15" s="81"/>
      <c r="M15" s="81"/>
      <c r="N15" s="81"/>
      <c r="O15" s="81"/>
      <c r="P15" s="81"/>
      <c r="Q15" s="81"/>
      <c r="R15" s="81"/>
      <c r="S15" s="81"/>
      <c r="T15" s="81"/>
      <c r="U15" s="81"/>
    </row>
    <row r="16" spans="1:21" x14ac:dyDescent="0.25">
      <c r="A16" s="101"/>
      <c r="B16" s="101"/>
      <c r="C16" s="101"/>
      <c r="D16" s="101"/>
      <c r="E16" s="81"/>
      <c r="F16" s="81"/>
      <c r="G16" s="81"/>
      <c r="H16" s="81"/>
      <c r="I16" s="81"/>
      <c r="J16" s="81"/>
      <c r="K16" s="81"/>
      <c r="L16" s="81"/>
      <c r="M16" s="81"/>
      <c r="N16" s="81"/>
      <c r="O16" s="81"/>
    </row>
    <row r="17" spans="1:15" x14ac:dyDescent="0.25">
      <c r="A17" s="101"/>
      <c r="B17" s="101"/>
      <c r="C17" s="101"/>
      <c r="D17" s="101"/>
      <c r="E17" s="81"/>
      <c r="F17" s="81"/>
      <c r="G17" s="81"/>
      <c r="H17" s="81"/>
      <c r="I17" s="81"/>
      <c r="J17" s="81"/>
      <c r="K17" s="81"/>
      <c r="L17" s="81"/>
      <c r="M17" s="81"/>
      <c r="N17" s="81"/>
      <c r="O17" s="81"/>
    </row>
    <row r="18" spans="1:15" x14ac:dyDescent="0.25">
      <c r="A18" s="101"/>
      <c r="B18" s="105"/>
      <c r="C18" s="105"/>
      <c r="D18" s="105"/>
      <c r="E18" s="81"/>
      <c r="F18" s="81"/>
      <c r="G18" s="81"/>
      <c r="H18" s="81"/>
      <c r="I18" s="81"/>
      <c r="J18" s="81"/>
      <c r="K18" s="81"/>
      <c r="L18" s="81"/>
      <c r="M18" s="81"/>
      <c r="N18" s="81"/>
      <c r="O18" s="81"/>
    </row>
    <row r="19" spans="1:15" x14ac:dyDescent="0.25">
      <c r="A19" s="101"/>
      <c r="B19" s="105"/>
      <c r="C19" s="105"/>
      <c r="D19" s="105"/>
      <c r="E19" s="81"/>
      <c r="F19" s="81"/>
      <c r="G19" s="81"/>
      <c r="H19" s="81"/>
      <c r="I19" s="81"/>
      <c r="J19" s="81"/>
      <c r="K19" s="81"/>
      <c r="L19" s="81"/>
      <c r="M19" s="81"/>
      <c r="N19" s="81"/>
      <c r="O19" s="81"/>
    </row>
    <row r="20" spans="1:15" x14ac:dyDescent="0.25">
      <c r="A20" s="101"/>
      <c r="B20" s="105"/>
      <c r="C20" s="105"/>
      <c r="D20" s="105"/>
      <c r="E20" s="81"/>
      <c r="F20" s="81"/>
      <c r="G20" s="81"/>
      <c r="H20" s="81"/>
      <c r="I20" s="81"/>
      <c r="J20" s="81"/>
      <c r="K20" s="81"/>
      <c r="L20" s="81"/>
      <c r="M20" s="81"/>
      <c r="N20" s="81"/>
      <c r="O20" s="81"/>
    </row>
    <row r="21" spans="1:15" x14ac:dyDescent="0.25">
      <c r="A21" s="101"/>
      <c r="B21" s="105"/>
      <c r="C21" s="105"/>
      <c r="D21" s="105"/>
      <c r="E21" s="81"/>
      <c r="F21" s="81"/>
      <c r="G21" s="81"/>
      <c r="H21" s="81"/>
      <c r="I21" s="81"/>
      <c r="J21" s="81"/>
      <c r="K21" s="81"/>
      <c r="L21" s="81"/>
      <c r="M21" s="81"/>
      <c r="N21" s="81"/>
      <c r="O21" s="81"/>
    </row>
    <row r="22" spans="1:15" ht="20.25" x14ac:dyDescent="0.25">
      <c r="A22" s="101"/>
      <c r="B22" s="101"/>
      <c r="C22" s="103"/>
      <c r="D22" s="103"/>
      <c r="E22" s="81"/>
      <c r="F22" s="81"/>
      <c r="G22" s="81"/>
      <c r="H22" s="81"/>
      <c r="I22" s="81"/>
      <c r="J22" s="81"/>
      <c r="K22" s="81"/>
      <c r="L22" s="81"/>
      <c r="M22" s="81"/>
      <c r="N22" s="81"/>
      <c r="O22" s="81"/>
    </row>
    <row r="23" spans="1:15" ht="20.25" x14ac:dyDescent="0.25">
      <c r="A23" s="101"/>
      <c r="B23" s="101"/>
      <c r="C23" s="103"/>
      <c r="D23" s="103"/>
      <c r="E23" s="81"/>
      <c r="F23" s="81"/>
      <c r="G23" s="81"/>
      <c r="H23" s="81"/>
      <c r="I23" s="81"/>
      <c r="J23" s="81"/>
      <c r="K23" s="81"/>
      <c r="L23" s="81"/>
      <c r="M23" s="81"/>
      <c r="N23" s="81"/>
      <c r="O23" s="81"/>
    </row>
    <row r="24" spans="1:15" ht="20.25" x14ac:dyDescent="0.25">
      <c r="A24" s="101"/>
      <c r="B24" s="101"/>
      <c r="C24" s="103"/>
      <c r="D24" s="103"/>
      <c r="E24" s="81"/>
      <c r="F24" s="81"/>
      <c r="G24" s="81"/>
      <c r="H24" s="81"/>
      <c r="I24" s="81"/>
      <c r="J24" s="81"/>
      <c r="K24" s="81"/>
      <c r="L24" s="81"/>
      <c r="M24" s="81"/>
      <c r="N24" s="81"/>
      <c r="O24" s="81"/>
    </row>
    <row r="25" spans="1:15" ht="20.25" x14ac:dyDescent="0.25">
      <c r="A25" s="101"/>
      <c r="B25" s="101"/>
      <c r="C25" s="103"/>
      <c r="D25" s="103"/>
      <c r="E25" s="81"/>
      <c r="F25" s="81"/>
      <c r="G25" s="81"/>
      <c r="H25" s="81"/>
      <c r="I25" s="81"/>
      <c r="J25" s="81"/>
      <c r="K25" s="81"/>
      <c r="L25" s="81"/>
      <c r="M25" s="81"/>
      <c r="N25" s="81"/>
      <c r="O25" s="81"/>
    </row>
    <row r="26" spans="1:15" ht="20.25" x14ac:dyDescent="0.25">
      <c r="A26" s="101"/>
      <c r="B26" s="101"/>
      <c r="C26" s="103"/>
      <c r="D26" s="103"/>
      <c r="E26" s="81"/>
      <c r="F26" s="81"/>
      <c r="G26" s="81"/>
      <c r="H26" s="81"/>
      <c r="I26" s="81"/>
      <c r="J26" s="81"/>
      <c r="K26" s="81"/>
      <c r="L26" s="81"/>
      <c r="M26" s="81"/>
      <c r="N26" s="81"/>
      <c r="O26" s="81"/>
    </row>
    <row r="27" spans="1:15" ht="20.25" x14ac:dyDescent="0.25">
      <c r="A27" s="101"/>
      <c r="B27" s="101"/>
      <c r="C27" s="103"/>
      <c r="D27" s="103"/>
      <c r="E27" s="81"/>
      <c r="F27" s="81"/>
      <c r="G27" s="81"/>
      <c r="H27" s="81"/>
      <c r="I27" s="81"/>
      <c r="J27" s="81"/>
      <c r="K27" s="81"/>
      <c r="L27" s="81"/>
      <c r="M27" s="81"/>
      <c r="N27" s="81"/>
      <c r="O27" s="81"/>
    </row>
    <row r="28" spans="1:15" ht="20.25" x14ac:dyDescent="0.25">
      <c r="A28" s="101"/>
      <c r="B28" s="101"/>
      <c r="C28" s="103"/>
      <c r="D28" s="103"/>
      <c r="E28" s="81"/>
      <c r="F28" s="81"/>
      <c r="G28" s="81"/>
      <c r="H28" s="81"/>
      <c r="I28" s="81"/>
      <c r="J28" s="81"/>
      <c r="K28" s="81"/>
      <c r="L28" s="81"/>
      <c r="M28" s="81"/>
      <c r="N28" s="81"/>
      <c r="O28" s="81"/>
    </row>
    <row r="29" spans="1:15" ht="20.25" x14ac:dyDescent="0.25">
      <c r="A29" s="101"/>
      <c r="B29" s="101"/>
      <c r="C29" s="103"/>
      <c r="D29" s="103"/>
      <c r="E29" s="81"/>
      <c r="F29" s="81"/>
      <c r="G29" s="81"/>
      <c r="H29" s="81"/>
      <c r="I29" s="81"/>
      <c r="J29" s="81"/>
      <c r="K29" s="81"/>
      <c r="L29" s="81"/>
      <c r="M29" s="81"/>
      <c r="N29" s="81"/>
      <c r="O29" s="81"/>
    </row>
    <row r="30" spans="1:15" ht="20.25" x14ac:dyDescent="0.25">
      <c r="A30" s="101"/>
      <c r="B30" s="101"/>
      <c r="C30" s="103"/>
      <c r="D30" s="103"/>
      <c r="E30" s="81"/>
      <c r="F30" s="81"/>
      <c r="G30" s="81"/>
      <c r="H30" s="81"/>
      <c r="I30" s="81"/>
      <c r="J30" s="81"/>
      <c r="K30" s="81"/>
      <c r="L30" s="81"/>
      <c r="M30" s="81"/>
      <c r="N30" s="81"/>
      <c r="O30" s="81"/>
    </row>
    <row r="31" spans="1:15" ht="20.25" x14ac:dyDescent="0.25">
      <c r="A31" s="101"/>
      <c r="B31" s="101"/>
      <c r="C31" s="103"/>
      <c r="D31" s="103"/>
      <c r="E31" s="81"/>
      <c r="F31" s="81"/>
      <c r="G31" s="81"/>
      <c r="H31" s="81"/>
      <c r="I31" s="81"/>
      <c r="J31" s="81"/>
      <c r="K31" s="81"/>
      <c r="L31" s="81"/>
      <c r="M31" s="81"/>
      <c r="N31" s="81"/>
      <c r="O31" s="81"/>
    </row>
    <row r="32" spans="1:15" ht="20.25" x14ac:dyDescent="0.25">
      <c r="A32" s="101"/>
      <c r="B32" s="101"/>
      <c r="C32" s="103"/>
      <c r="D32" s="103"/>
      <c r="E32" s="81"/>
      <c r="F32" s="81"/>
      <c r="G32" s="81"/>
      <c r="H32" s="81"/>
      <c r="I32" s="81"/>
      <c r="J32" s="81"/>
      <c r="K32" s="81"/>
      <c r="L32" s="81"/>
      <c r="M32" s="81"/>
      <c r="N32" s="81"/>
      <c r="O32" s="81"/>
    </row>
    <row r="33" spans="1:15" ht="20.25" x14ac:dyDescent="0.25">
      <c r="A33" s="101"/>
      <c r="B33" s="101"/>
      <c r="C33" s="103"/>
      <c r="D33" s="103"/>
      <c r="E33" s="81"/>
      <c r="F33" s="81"/>
      <c r="G33" s="81"/>
      <c r="H33" s="81"/>
      <c r="I33" s="81"/>
      <c r="J33" s="81"/>
      <c r="K33" s="81"/>
      <c r="L33" s="81"/>
      <c r="M33" s="81"/>
      <c r="N33" s="81"/>
      <c r="O33" s="81"/>
    </row>
    <row r="34" spans="1:15" ht="20.25" x14ac:dyDescent="0.25">
      <c r="A34" s="101"/>
      <c r="B34" s="101"/>
      <c r="C34" s="103"/>
      <c r="D34" s="103"/>
      <c r="E34" s="81"/>
      <c r="F34" s="81"/>
      <c r="G34" s="81"/>
      <c r="H34" s="81"/>
      <c r="I34" s="81"/>
      <c r="J34" s="81"/>
      <c r="K34" s="81"/>
      <c r="L34" s="81"/>
      <c r="M34" s="81"/>
      <c r="N34" s="81"/>
      <c r="O34" s="81"/>
    </row>
    <row r="35" spans="1:15" ht="20.25" x14ac:dyDescent="0.25">
      <c r="A35" s="101"/>
      <c r="B35" s="101"/>
      <c r="C35" s="103"/>
      <c r="D35" s="103"/>
      <c r="E35" s="81"/>
      <c r="F35" s="81"/>
      <c r="G35" s="81"/>
      <c r="H35" s="81"/>
      <c r="I35" s="81"/>
      <c r="J35" s="81"/>
      <c r="K35" s="81"/>
      <c r="L35" s="81"/>
      <c r="M35" s="81"/>
      <c r="N35" s="81"/>
      <c r="O35" s="81"/>
    </row>
    <row r="36" spans="1:15" ht="20.25" x14ac:dyDescent="0.25">
      <c r="A36" s="101"/>
      <c r="B36" s="101"/>
      <c r="C36" s="103"/>
      <c r="D36" s="103"/>
      <c r="E36" s="81"/>
      <c r="F36" s="81"/>
      <c r="G36" s="81"/>
      <c r="H36" s="81"/>
      <c r="I36" s="81"/>
      <c r="J36" s="81"/>
      <c r="K36" s="81"/>
      <c r="L36" s="81"/>
      <c r="M36" s="81"/>
      <c r="N36" s="81"/>
      <c r="O36" s="81"/>
    </row>
    <row r="37" spans="1:15" ht="20.25" x14ac:dyDescent="0.25">
      <c r="A37" s="101"/>
      <c r="B37" s="101"/>
      <c r="C37" s="103"/>
      <c r="D37" s="103"/>
      <c r="E37" s="81"/>
      <c r="F37" s="81"/>
      <c r="G37" s="81"/>
      <c r="H37" s="81"/>
      <c r="I37" s="81"/>
      <c r="J37" s="81"/>
      <c r="K37" s="81"/>
      <c r="L37" s="81"/>
      <c r="M37" s="81"/>
      <c r="N37" s="81"/>
      <c r="O37" s="81"/>
    </row>
    <row r="38" spans="1:15" ht="20.25" x14ac:dyDescent="0.25">
      <c r="A38" s="101"/>
      <c r="B38" s="101"/>
      <c r="C38" s="103"/>
      <c r="D38" s="103"/>
      <c r="E38" s="81"/>
      <c r="F38" s="81"/>
      <c r="G38" s="81"/>
      <c r="H38" s="81"/>
      <c r="I38" s="81"/>
      <c r="J38" s="81"/>
      <c r="K38" s="81"/>
      <c r="L38" s="81"/>
      <c r="M38" s="81"/>
      <c r="N38" s="81"/>
      <c r="O38" s="81"/>
    </row>
    <row r="39" spans="1:15" ht="20.25" x14ac:dyDescent="0.25">
      <c r="A39" s="101"/>
      <c r="B39" s="101"/>
      <c r="C39" s="103"/>
      <c r="D39" s="103"/>
      <c r="E39" s="81"/>
      <c r="F39" s="81"/>
      <c r="G39" s="81"/>
      <c r="H39" s="81"/>
      <c r="I39" s="81"/>
      <c r="J39" s="81"/>
      <c r="K39" s="81"/>
      <c r="L39" s="81"/>
      <c r="M39" s="81"/>
      <c r="N39" s="81"/>
      <c r="O39" s="81"/>
    </row>
    <row r="40" spans="1:15" ht="20.25" x14ac:dyDescent="0.25">
      <c r="A40" s="101"/>
      <c r="B40" s="101"/>
      <c r="C40" s="103"/>
      <c r="D40" s="103"/>
      <c r="E40" s="81"/>
      <c r="F40" s="81"/>
      <c r="G40" s="81"/>
      <c r="H40" s="81"/>
      <c r="I40" s="81"/>
      <c r="J40" s="81"/>
      <c r="K40" s="81"/>
      <c r="L40" s="81"/>
      <c r="M40" s="81"/>
      <c r="N40" s="81"/>
      <c r="O40" s="81"/>
    </row>
    <row r="41" spans="1:15" ht="20.25" x14ac:dyDescent="0.25">
      <c r="A41" s="101"/>
      <c r="B41" s="101"/>
      <c r="C41" s="103"/>
      <c r="D41" s="103"/>
      <c r="E41" s="81"/>
      <c r="F41" s="81"/>
      <c r="G41" s="81"/>
      <c r="H41" s="81"/>
      <c r="I41" s="81"/>
      <c r="J41" s="81"/>
      <c r="K41" s="81"/>
      <c r="L41" s="81"/>
      <c r="M41" s="81"/>
      <c r="N41" s="81"/>
      <c r="O41" s="81"/>
    </row>
    <row r="42" spans="1:15" ht="20.25" x14ac:dyDescent="0.25">
      <c r="A42" s="101"/>
      <c r="B42" s="101"/>
      <c r="C42" s="103"/>
      <c r="D42" s="103"/>
      <c r="E42" s="81"/>
      <c r="F42" s="81"/>
      <c r="G42" s="81"/>
      <c r="H42" s="81"/>
      <c r="I42" s="81"/>
      <c r="J42" s="81"/>
      <c r="K42" s="81"/>
      <c r="L42" s="81"/>
      <c r="M42" s="81"/>
      <c r="N42" s="81"/>
      <c r="O42" s="81"/>
    </row>
    <row r="43" spans="1:15" ht="20.25" x14ac:dyDescent="0.25">
      <c r="A43" s="101"/>
      <c r="B43" s="101"/>
      <c r="C43" s="103"/>
      <c r="D43" s="103"/>
      <c r="E43" s="81"/>
      <c r="F43" s="81"/>
      <c r="G43" s="81"/>
      <c r="H43" s="81"/>
      <c r="I43" s="81"/>
      <c r="J43" s="81"/>
      <c r="K43" s="81"/>
      <c r="L43" s="81"/>
      <c r="M43" s="81"/>
      <c r="N43" s="81"/>
      <c r="O43" s="81"/>
    </row>
    <row r="44" spans="1:15" ht="20.25" x14ac:dyDescent="0.25">
      <c r="A44" s="101"/>
      <c r="B44" s="101"/>
      <c r="C44" s="103"/>
      <c r="D44" s="103"/>
      <c r="E44" s="81"/>
      <c r="F44" s="81"/>
      <c r="G44" s="81"/>
      <c r="H44" s="81"/>
      <c r="I44" s="81"/>
      <c r="J44" s="81"/>
      <c r="K44" s="81"/>
      <c r="L44" s="81"/>
      <c r="M44" s="81"/>
      <c r="N44" s="81"/>
      <c r="O44" s="81"/>
    </row>
    <row r="45" spans="1:15" ht="20.25" x14ac:dyDescent="0.25">
      <c r="A45" s="101"/>
      <c r="B45" s="101"/>
      <c r="C45" s="103"/>
      <c r="D45" s="103"/>
      <c r="E45" s="81"/>
      <c r="F45" s="81"/>
      <c r="G45" s="81"/>
      <c r="H45" s="81"/>
      <c r="I45" s="81"/>
      <c r="J45" s="81"/>
      <c r="K45" s="81"/>
      <c r="L45" s="81"/>
      <c r="M45" s="81"/>
      <c r="N45" s="81"/>
      <c r="O45" s="81"/>
    </row>
    <row r="46" spans="1:15" ht="20.25" x14ac:dyDescent="0.25">
      <c r="A46" s="101"/>
      <c r="B46" s="101"/>
      <c r="C46" s="103"/>
      <c r="D46" s="103"/>
      <c r="E46" s="81"/>
      <c r="F46" s="81"/>
      <c r="G46" s="81"/>
      <c r="H46" s="81"/>
      <c r="I46" s="81"/>
      <c r="J46" s="81"/>
      <c r="K46" s="81"/>
      <c r="L46" s="81"/>
      <c r="M46" s="81"/>
      <c r="N46" s="81"/>
      <c r="O46" s="81"/>
    </row>
    <row r="47" spans="1:15" ht="20.25" x14ac:dyDescent="0.25">
      <c r="A47" s="101"/>
      <c r="B47" s="101"/>
      <c r="C47" s="103"/>
      <c r="D47" s="103"/>
      <c r="E47" s="81"/>
      <c r="F47" s="81"/>
      <c r="G47" s="81"/>
      <c r="H47" s="81"/>
      <c r="I47" s="81"/>
      <c r="J47" s="81"/>
      <c r="K47" s="81"/>
      <c r="L47" s="81"/>
      <c r="M47" s="81"/>
      <c r="N47" s="81"/>
      <c r="O47" s="81"/>
    </row>
    <row r="48" spans="1:15" ht="20.25" x14ac:dyDescent="0.25">
      <c r="A48" s="101"/>
      <c r="B48" s="101"/>
      <c r="C48" s="103"/>
      <c r="D48" s="103"/>
      <c r="E48" s="81"/>
      <c r="F48" s="81"/>
      <c r="G48" s="81"/>
      <c r="H48" s="81"/>
      <c r="I48" s="81"/>
      <c r="J48" s="81"/>
      <c r="K48" s="81"/>
      <c r="L48" s="81"/>
      <c r="M48" s="81"/>
      <c r="N48" s="81"/>
      <c r="O48" s="81"/>
    </row>
    <row r="49" spans="1:15" ht="20.25" x14ac:dyDescent="0.25">
      <c r="A49" s="101"/>
      <c r="B49" s="101"/>
      <c r="C49" s="103"/>
      <c r="D49" s="103"/>
      <c r="E49" s="81"/>
      <c r="F49" s="81"/>
      <c r="G49" s="81"/>
      <c r="H49" s="81"/>
      <c r="I49" s="81"/>
      <c r="J49" s="81"/>
      <c r="K49" s="81"/>
      <c r="L49" s="81"/>
      <c r="M49" s="81"/>
      <c r="N49" s="81"/>
      <c r="O49" s="81"/>
    </row>
    <row r="50" spans="1:15" ht="20.25" x14ac:dyDescent="0.25">
      <c r="A50" s="101"/>
      <c r="B50" s="101"/>
      <c r="C50" s="103"/>
      <c r="D50" s="103"/>
      <c r="E50" s="81"/>
      <c r="F50" s="81"/>
      <c r="G50" s="81"/>
      <c r="H50" s="81"/>
      <c r="I50" s="81"/>
      <c r="J50" s="81"/>
      <c r="K50" s="81"/>
      <c r="L50" s="81"/>
      <c r="M50" s="81"/>
      <c r="N50" s="81"/>
      <c r="O50" s="81"/>
    </row>
    <row r="51" spans="1:15" ht="20.25" x14ac:dyDescent="0.25">
      <c r="A51" s="101"/>
      <c r="B51" s="101"/>
      <c r="C51" s="103"/>
      <c r="D51" s="103"/>
      <c r="E51" s="81"/>
      <c r="F51" s="81"/>
      <c r="G51" s="81"/>
      <c r="H51" s="81"/>
      <c r="I51" s="81"/>
      <c r="J51" s="81"/>
      <c r="K51" s="81"/>
      <c r="L51" s="81"/>
      <c r="M51" s="81"/>
      <c r="N51" s="81"/>
      <c r="O51" s="81"/>
    </row>
    <row r="52" spans="1:15" ht="20.25" x14ac:dyDescent="0.25">
      <c r="A52" s="101"/>
      <c r="B52" s="22"/>
      <c r="C52" s="32"/>
      <c r="D52" s="32"/>
    </row>
    <row r="53" spans="1:15" ht="20.25" x14ac:dyDescent="0.25">
      <c r="A53" s="101"/>
      <c r="B53" s="22"/>
      <c r="C53" s="32"/>
      <c r="D53" s="32"/>
    </row>
    <row r="54" spans="1:15" ht="20.25" x14ac:dyDescent="0.25">
      <c r="A54" s="101"/>
      <c r="B54" s="22"/>
      <c r="C54" s="32"/>
      <c r="D54" s="32"/>
    </row>
    <row r="55" spans="1:15" ht="20.25" x14ac:dyDescent="0.25">
      <c r="A55" s="101"/>
      <c r="B55" s="22"/>
      <c r="C55" s="32"/>
      <c r="D55" s="32"/>
    </row>
    <row r="56" spans="1:15" ht="20.25" x14ac:dyDescent="0.25">
      <c r="A56" s="101"/>
      <c r="B56" s="22"/>
      <c r="C56" s="32"/>
      <c r="D56" s="32"/>
    </row>
    <row r="57" spans="1:15" ht="20.25" x14ac:dyDescent="0.25">
      <c r="A57" s="101"/>
      <c r="B57" s="22"/>
      <c r="C57" s="32"/>
      <c r="D57" s="32"/>
    </row>
    <row r="58" spans="1:15" ht="20.25" x14ac:dyDescent="0.25">
      <c r="A58" s="101"/>
      <c r="B58" s="22"/>
      <c r="C58" s="32"/>
      <c r="D58" s="32"/>
    </row>
    <row r="59" spans="1:15" ht="20.25" x14ac:dyDescent="0.25">
      <c r="A59" s="101"/>
      <c r="B59" s="22"/>
      <c r="C59" s="32"/>
      <c r="D59" s="32"/>
    </row>
    <row r="60" spans="1:15" ht="20.25" x14ac:dyDescent="0.25">
      <c r="A60" s="101"/>
      <c r="B60" s="22"/>
      <c r="C60" s="32"/>
      <c r="D60" s="32"/>
    </row>
    <row r="61" spans="1:15" ht="20.25" x14ac:dyDescent="0.25">
      <c r="A61" s="101"/>
      <c r="B61" s="22"/>
      <c r="C61" s="32"/>
      <c r="D61" s="32"/>
    </row>
    <row r="62" spans="1:15" ht="20.25" x14ac:dyDescent="0.25">
      <c r="A62" s="101"/>
      <c r="B62" s="22"/>
      <c r="C62" s="32"/>
      <c r="D62" s="32"/>
    </row>
    <row r="63" spans="1:15" ht="20.25" x14ac:dyDescent="0.25">
      <c r="A63" s="101"/>
      <c r="B63" s="22"/>
      <c r="C63" s="32"/>
      <c r="D63" s="32"/>
    </row>
    <row r="64" spans="1:15" ht="20.25" x14ac:dyDescent="0.25">
      <c r="A64" s="101"/>
      <c r="B64" s="22"/>
      <c r="C64" s="32"/>
      <c r="D64" s="32"/>
    </row>
    <row r="65" spans="1:4" ht="20.25" x14ac:dyDescent="0.25">
      <c r="A65" s="101"/>
      <c r="B65" s="22"/>
      <c r="C65" s="32"/>
      <c r="D65" s="32"/>
    </row>
    <row r="66" spans="1:4" ht="20.25" x14ac:dyDescent="0.25">
      <c r="A66" s="101"/>
      <c r="B66" s="22"/>
      <c r="C66" s="32"/>
      <c r="D66" s="32"/>
    </row>
    <row r="67" spans="1:4" ht="20.25" x14ac:dyDescent="0.25">
      <c r="A67" s="101"/>
      <c r="B67" s="22"/>
      <c r="C67" s="32"/>
      <c r="D67" s="32"/>
    </row>
    <row r="68" spans="1:4" ht="20.25" x14ac:dyDescent="0.25">
      <c r="A68" s="101"/>
      <c r="B68" s="22"/>
      <c r="C68" s="32"/>
      <c r="D68" s="32"/>
    </row>
    <row r="69" spans="1:4" ht="20.25" x14ac:dyDescent="0.25">
      <c r="A69" s="101"/>
      <c r="B69" s="22"/>
      <c r="C69" s="32"/>
      <c r="D69" s="32"/>
    </row>
    <row r="70" spans="1:4" ht="20.25" x14ac:dyDescent="0.25">
      <c r="A70" s="101"/>
      <c r="B70" s="22"/>
      <c r="C70" s="32"/>
      <c r="D70" s="32"/>
    </row>
    <row r="71" spans="1:4" ht="20.25" x14ac:dyDescent="0.25">
      <c r="A71" s="101"/>
      <c r="B71" s="22"/>
      <c r="C71" s="32"/>
      <c r="D71" s="32"/>
    </row>
    <row r="72" spans="1:4" ht="20.25" x14ac:dyDescent="0.25">
      <c r="A72" s="101"/>
      <c r="B72" s="22"/>
      <c r="C72" s="32"/>
      <c r="D72" s="32"/>
    </row>
    <row r="73" spans="1:4" ht="20.25" x14ac:dyDescent="0.25">
      <c r="A73" s="101"/>
      <c r="B73" s="22"/>
      <c r="C73" s="32"/>
      <c r="D73" s="32"/>
    </row>
    <row r="74" spans="1:4" ht="20.25" x14ac:dyDescent="0.25">
      <c r="A74" s="101"/>
      <c r="B74" s="22"/>
      <c r="C74" s="32"/>
      <c r="D74" s="32"/>
    </row>
    <row r="75" spans="1:4" ht="20.25" x14ac:dyDescent="0.25">
      <c r="A75" s="101"/>
      <c r="B75" s="22"/>
      <c r="C75" s="32"/>
      <c r="D75" s="32"/>
    </row>
    <row r="76" spans="1:4" ht="20.25" x14ac:dyDescent="0.25">
      <c r="A76" s="101"/>
      <c r="B76" s="22"/>
      <c r="C76" s="32"/>
      <c r="D76" s="32"/>
    </row>
    <row r="77" spans="1:4" ht="20.25" x14ac:dyDescent="0.25">
      <c r="A77" s="101"/>
      <c r="B77" s="22"/>
      <c r="C77" s="32"/>
      <c r="D77" s="32"/>
    </row>
    <row r="78" spans="1:4" ht="20.25" x14ac:dyDescent="0.25">
      <c r="A78" s="101"/>
      <c r="B78" s="22"/>
      <c r="C78" s="32"/>
      <c r="D78" s="32"/>
    </row>
    <row r="79" spans="1:4" ht="20.25" x14ac:dyDescent="0.25">
      <c r="A79" s="101"/>
      <c r="B79" s="22"/>
      <c r="C79" s="32"/>
      <c r="D79" s="32"/>
    </row>
    <row r="80" spans="1:4" ht="20.25" x14ac:dyDescent="0.25">
      <c r="A80" s="101"/>
      <c r="B80" s="22"/>
      <c r="C80" s="32"/>
      <c r="D80" s="32"/>
    </row>
    <row r="81" spans="1:4" ht="20.25" x14ac:dyDescent="0.25">
      <c r="A81" s="101"/>
      <c r="B81" s="22"/>
      <c r="C81" s="32"/>
      <c r="D81" s="32"/>
    </row>
    <row r="82" spans="1:4" ht="20.25" x14ac:dyDescent="0.25">
      <c r="A82" s="101"/>
      <c r="B82" s="22"/>
      <c r="C82" s="32"/>
      <c r="D82" s="32"/>
    </row>
    <row r="83" spans="1:4" ht="20.25" x14ac:dyDescent="0.25">
      <c r="A83" s="101"/>
      <c r="B83" s="22"/>
      <c r="C83" s="32"/>
      <c r="D83" s="32"/>
    </row>
    <row r="84" spans="1:4" ht="20.25" x14ac:dyDescent="0.25">
      <c r="A84" s="101"/>
      <c r="B84" s="22"/>
      <c r="C84" s="32"/>
      <c r="D84" s="32"/>
    </row>
    <row r="85" spans="1:4" ht="20.25" x14ac:dyDescent="0.25">
      <c r="A85" s="101"/>
      <c r="B85" s="22"/>
      <c r="C85" s="32"/>
      <c r="D85" s="32"/>
    </row>
    <row r="86" spans="1:4" ht="20.25" x14ac:dyDescent="0.25">
      <c r="A86" s="101"/>
      <c r="B86" s="22"/>
      <c r="C86" s="32"/>
      <c r="D86" s="32"/>
    </row>
    <row r="87" spans="1:4" ht="20.25" x14ac:dyDescent="0.25">
      <c r="A87" s="101"/>
      <c r="B87" s="22"/>
      <c r="C87" s="32"/>
      <c r="D87" s="32"/>
    </row>
    <row r="88" spans="1:4" ht="20.25" x14ac:dyDescent="0.25">
      <c r="A88" s="101"/>
      <c r="B88" s="22"/>
      <c r="C88" s="32"/>
      <c r="D88" s="32"/>
    </row>
    <row r="89" spans="1:4" ht="20.25" x14ac:dyDescent="0.25">
      <c r="A89" s="101"/>
      <c r="B89" s="22"/>
      <c r="C89" s="32"/>
      <c r="D89" s="32"/>
    </row>
    <row r="90" spans="1:4" ht="20.25" x14ac:dyDescent="0.25">
      <c r="A90" s="101"/>
      <c r="B90" s="22"/>
      <c r="C90" s="32"/>
      <c r="D90" s="32"/>
    </row>
    <row r="91" spans="1:4" ht="20.25" x14ac:dyDescent="0.25">
      <c r="A91" s="101"/>
      <c r="B91" s="22"/>
      <c r="C91" s="32"/>
      <c r="D91" s="32"/>
    </row>
    <row r="92" spans="1:4" ht="20.25" x14ac:dyDescent="0.25">
      <c r="A92" s="101"/>
      <c r="B92" s="22"/>
      <c r="C92" s="32"/>
      <c r="D92" s="32"/>
    </row>
    <row r="93" spans="1:4" ht="20.25" x14ac:dyDescent="0.25">
      <c r="A93" s="101"/>
      <c r="B93" s="22"/>
      <c r="C93" s="32"/>
      <c r="D93" s="32"/>
    </row>
    <row r="94" spans="1:4" ht="20.25" x14ac:dyDescent="0.25">
      <c r="A94" s="101"/>
      <c r="B94" s="22"/>
      <c r="C94" s="32"/>
      <c r="D94" s="32"/>
    </row>
    <row r="95" spans="1:4" ht="20.25" x14ac:dyDescent="0.25">
      <c r="A95" s="101"/>
      <c r="B95" s="22"/>
      <c r="C95" s="32"/>
      <c r="D95" s="32"/>
    </row>
    <row r="96" spans="1:4" ht="20.25" x14ac:dyDescent="0.25">
      <c r="A96" s="101"/>
      <c r="B96" s="22"/>
      <c r="C96" s="32"/>
      <c r="D96" s="32"/>
    </row>
    <row r="97" spans="1:4" ht="20.25" x14ac:dyDescent="0.25">
      <c r="A97" s="101"/>
      <c r="B97" s="22"/>
      <c r="C97" s="32"/>
      <c r="D97" s="32"/>
    </row>
    <row r="98" spans="1:4" ht="20.25" x14ac:dyDescent="0.25">
      <c r="A98" s="101"/>
      <c r="B98" s="22"/>
      <c r="C98" s="32"/>
      <c r="D98" s="32"/>
    </row>
    <row r="99" spans="1:4" ht="20.25" x14ac:dyDescent="0.25">
      <c r="A99" s="101"/>
      <c r="B99" s="22"/>
      <c r="C99" s="32"/>
      <c r="D99" s="32"/>
    </row>
    <row r="100" spans="1:4" ht="20.25" x14ac:dyDescent="0.25">
      <c r="A100" s="101"/>
      <c r="B100" s="22"/>
      <c r="C100" s="32"/>
      <c r="D100" s="32"/>
    </row>
    <row r="101" spans="1:4" ht="20.25" x14ac:dyDescent="0.25">
      <c r="A101" s="101"/>
      <c r="B101" s="22"/>
      <c r="C101" s="32"/>
      <c r="D101" s="32"/>
    </row>
    <row r="102" spans="1:4" ht="20.25" x14ac:dyDescent="0.25">
      <c r="A102" s="101"/>
      <c r="B102" s="22"/>
      <c r="C102" s="32"/>
      <c r="D102" s="32"/>
    </row>
    <row r="103" spans="1:4" ht="20.25" x14ac:dyDescent="0.25">
      <c r="A103" s="101"/>
      <c r="B103" s="22"/>
      <c r="C103" s="32"/>
      <c r="D103" s="32"/>
    </row>
    <row r="104" spans="1:4" ht="20.25" x14ac:dyDescent="0.25">
      <c r="A104" s="101"/>
      <c r="B104" s="22"/>
      <c r="C104" s="32"/>
      <c r="D104" s="32"/>
    </row>
    <row r="105" spans="1:4" ht="20.25" x14ac:dyDescent="0.25">
      <c r="A105" s="101"/>
      <c r="B105" s="22"/>
      <c r="C105" s="32"/>
      <c r="D105" s="32"/>
    </row>
    <row r="106" spans="1:4" ht="20.25" x14ac:dyDescent="0.25">
      <c r="A106" s="101"/>
      <c r="B106" s="22"/>
      <c r="C106" s="32"/>
      <c r="D106" s="32"/>
    </row>
    <row r="107" spans="1:4" ht="20.25" x14ac:dyDescent="0.25">
      <c r="A107" s="101"/>
      <c r="B107" s="22"/>
      <c r="C107" s="32"/>
      <c r="D107" s="32"/>
    </row>
    <row r="108" spans="1:4" ht="20.25" x14ac:dyDescent="0.25">
      <c r="A108" s="101"/>
      <c r="B108" s="22"/>
      <c r="C108" s="32"/>
      <c r="D108" s="32"/>
    </row>
    <row r="109" spans="1:4" ht="20.25" x14ac:dyDescent="0.25">
      <c r="A109" s="101"/>
      <c r="B109" s="22"/>
      <c r="C109" s="32"/>
      <c r="D109" s="32"/>
    </row>
    <row r="110" spans="1:4" ht="20.25" x14ac:dyDescent="0.25">
      <c r="A110" s="101"/>
      <c r="B110" s="22"/>
      <c r="C110" s="32"/>
      <c r="D110" s="32"/>
    </row>
    <row r="111" spans="1:4" ht="20.25" x14ac:dyDescent="0.25">
      <c r="A111" s="101"/>
      <c r="B111" s="22"/>
      <c r="C111" s="32"/>
      <c r="D111" s="32"/>
    </row>
    <row r="112" spans="1:4" ht="20.25" x14ac:dyDescent="0.25">
      <c r="A112" s="101"/>
      <c r="B112" s="22"/>
      <c r="C112" s="32"/>
      <c r="D112" s="32"/>
    </row>
    <row r="113" spans="1:4" ht="20.25" x14ac:dyDescent="0.25">
      <c r="A113" s="101"/>
      <c r="B113" s="22"/>
      <c r="C113" s="32"/>
      <c r="D113" s="32"/>
    </row>
    <row r="114" spans="1:4" ht="20.25" x14ac:dyDescent="0.25">
      <c r="A114" s="101"/>
      <c r="B114" s="22"/>
      <c r="C114" s="32"/>
      <c r="D114" s="32"/>
    </row>
    <row r="115" spans="1:4" ht="20.25" x14ac:dyDescent="0.25">
      <c r="A115" s="101"/>
      <c r="B115" s="22"/>
      <c r="C115" s="32"/>
      <c r="D115" s="32"/>
    </row>
    <row r="116" spans="1:4" ht="20.25" x14ac:dyDescent="0.25">
      <c r="A116" s="101"/>
      <c r="B116" s="22"/>
      <c r="C116" s="32"/>
      <c r="D116" s="32"/>
    </row>
    <row r="117" spans="1:4" ht="20.25" x14ac:dyDescent="0.25">
      <c r="A117" s="101"/>
      <c r="B117" s="22"/>
      <c r="C117" s="32"/>
      <c r="D117" s="32"/>
    </row>
    <row r="118" spans="1:4" ht="20.25" x14ac:dyDescent="0.25">
      <c r="A118" s="101"/>
      <c r="B118" s="22"/>
      <c r="C118" s="32"/>
      <c r="D118" s="32"/>
    </row>
    <row r="119" spans="1:4" ht="20.25" x14ac:dyDescent="0.25">
      <c r="A119" s="101"/>
      <c r="B119" s="22"/>
      <c r="C119" s="32"/>
      <c r="D119" s="32"/>
    </row>
    <row r="120" spans="1:4" ht="20.25" x14ac:dyDescent="0.25">
      <c r="A120" s="101"/>
      <c r="B120" s="22"/>
      <c r="C120" s="32"/>
      <c r="D120" s="32"/>
    </row>
    <row r="121" spans="1:4" ht="20.25" x14ac:dyDescent="0.25">
      <c r="A121" s="101"/>
      <c r="B121" s="22"/>
      <c r="C121" s="32"/>
      <c r="D121" s="32"/>
    </row>
    <row r="122" spans="1:4" ht="20.25" x14ac:dyDescent="0.25">
      <c r="A122" s="101"/>
      <c r="B122" s="22"/>
      <c r="C122" s="32"/>
      <c r="D122" s="32"/>
    </row>
    <row r="123" spans="1:4" ht="20.25" x14ac:dyDescent="0.25">
      <c r="A123" s="101"/>
      <c r="B123" s="22"/>
      <c r="C123" s="32"/>
      <c r="D123" s="32"/>
    </row>
    <row r="124" spans="1:4" ht="20.25" x14ac:dyDescent="0.25">
      <c r="A124" s="101"/>
      <c r="B124" s="22"/>
      <c r="C124" s="32"/>
      <c r="D124" s="32"/>
    </row>
    <row r="125" spans="1:4" ht="20.25" x14ac:dyDescent="0.25">
      <c r="A125" s="101"/>
      <c r="B125" s="22"/>
      <c r="C125" s="32"/>
      <c r="D125" s="32"/>
    </row>
    <row r="126" spans="1:4" ht="20.25" x14ac:dyDescent="0.25">
      <c r="A126" s="101"/>
      <c r="B126" s="22"/>
      <c r="C126" s="32"/>
      <c r="D126" s="32"/>
    </row>
    <row r="127" spans="1:4" ht="20.25" x14ac:dyDescent="0.25">
      <c r="A127" s="101"/>
      <c r="B127" s="22"/>
      <c r="C127" s="32"/>
      <c r="D127" s="32"/>
    </row>
    <row r="128" spans="1:4" ht="20.25" x14ac:dyDescent="0.25">
      <c r="A128" s="101"/>
      <c r="B128" s="22"/>
      <c r="C128" s="32"/>
      <c r="D128" s="32"/>
    </row>
    <row r="129" spans="1:4" ht="20.25" x14ac:dyDescent="0.25">
      <c r="A129" s="101"/>
      <c r="B129" s="22"/>
      <c r="C129" s="32"/>
      <c r="D129" s="32"/>
    </row>
    <row r="130" spans="1:4" ht="20.25" x14ac:dyDescent="0.25">
      <c r="A130" s="101"/>
      <c r="B130" s="22"/>
      <c r="C130" s="32"/>
      <c r="D130" s="32"/>
    </row>
    <row r="131" spans="1:4" ht="20.25" x14ac:dyDescent="0.25">
      <c r="A131" s="101"/>
      <c r="B131" s="22"/>
      <c r="C131" s="32"/>
      <c r="D131" s="32"/>
    </row>
    <row r="132" spans="1:4" ht="20.25" x14ac:dyDescent="0.25">
      <c r="A132" s="101"/>
      <c r="B132" s="22"/>
      <c r="C132" s="32"/>
      <c r="D132" s="32"/>
    </row>
    <row r="133" spans="1:4" ht="20.25" x14ac:dyDescent="0.25">
      <c r="A133" s="101"/>
      <c r="B133" s="22"/>
      <c r="C133" s="32"/>
      <c r="D133" s="32"/>
    </row>
    <row r="134" spans="1:4" ht="20.25" x14ac:dyDescent="0.25">
      <c r="A134" s="101"/>
      <c r="B134" s="22"/>
      <c r="C134" s="32"/>
      <c r="D134" s="32"/>
    </row>
    <row r="135" spans="1:4" ht="20.25" x14ac:dyDescent="0.25">
      <c r="A135" s="101"/>
      <c r="B135" s="22"/>
      <c r="C135" s="32"/>
      <c r="D135" s="32"/>
    </row>
    <row r="136" spans="1:4" ht="20.25" x14ac:dyDescent="0.25">
      <c r="A136" s="101"/>
      <c r="B136" s="22"/>
      <c r="C136" s="32"/>
      <c r="D136" s="32"/>
    </row>
    <row r="137" spans="1:4" ht="20.25" x14ac:dyDescent="0.25">
      <c r="A137" s="101"/>
      <c r="B137" s="22"/>
      <c r="C137" s="32"/>
      <c r="D137" s="32"/>
    </row>
    <row r="138" spans="1:4" ht="20.25" x14ac:dyDescent="0.25">
      <c r="A138" s="101"/>
      <c r="B138" s="22"/>
      <c r="C138" s="32"/>
      <c r="D138" s="32"/>
    </row>
    <row r="139" spans="1:4" ht="20.25" x14ac:dyDescent="0.25">
      <c r="A139" s="101"/>
      <c r="B139" s="22"/>
      <c r="C139" s="32"/>
      <c r="D139" s="32"/>
    </row>
    <row r="140" spans="1:4" ht="20.25" x14ac:dyDescent="0.25">
      <c r="A140" s="101"/>
      <c r="B140" s="22"/>
      <c r="C140" s="32"/>
      <c r="D140" s="32"/>
    </row>
    <row r="141" spans="1:4" ht="20.25" x14ac:dyDescent="0.25">
      <c r="A141" s="101"/>
      <c r="B141" s="22"/>
      <c r="C141" s="32"/>
      <c r="D141" s="32"/>
    </row>
    <row r="142" spans="1:4" ht="20.25" x14ac:dyDescent="0.25">
      <c r="A142" s="101"/>
      <c r="B142" s="22"/>
      <c r="C142" s="32"/>
      <c r="D142" s="32"/>
    </row>
    <row r="143" spans="1:4" ht="20.25" x14ac:dyDescent="0.25">
      <c r="A143" s="101"/>
      <c r="B143" s="22"/>
      <c r="C143" s="32"/>
      <c r="D143" s="32"/>
    </row>
    <row r="144" spans="1:4" ht="20.25" x14ac:dyDescent="0.25">
      <c r="A144" s="101"/>
      <c r="B144" s="22"/>
      <c r="C144" s="32"/>
      <c r="D144" s="32"/>
    </row>
    <row r="145" spans="1:4" ht="20.25" x14ac:dyDescent="0.25">
      <c r="A145" s="101"/>
      <c r="B145" s="22"/>
      <c r="C145" s="32"/>
      <c r="D145" s="32"/>
    </row>
    <row r="146" spans="1:4" ht="20.25" x14ac:dyDescent="0.25">
      <c r="A146" s="101"/>
      <c r="B146" s="22"/>
      <c r="C146" s="32"/>
      <c r="D146" s="32"/>
    </row>
    <row r="147" spans="1:4" ht="20.25" x14ac:dyDescent="0.25">
      <c r="A147" s="101"/>
      <c r="B147" s="22"/>
      <c r="C147" s="32"/>
      <c r="D147" s="32"/>
    </row>
    <row r="148" spans="1:4" ht="20.25" x14ac:dyDescent="0.25">
      <c r="A148" s="101"/>
      <c r="B148" s="22"/>
      <c r="C148" s="32"/>
      <c r="D148" s="32"/>
    </row>
    <row r="149" spans="1:4" ht="20.25" x14ac:dyDescent="0.25">
      <c r="A149" s="101"/>
      <c r="B149" s="22"/>
      <c r="C149" s="32"/>
      <c r="D149" s="32"/>
    </row>
    <row r="150" spans="1:4" ht="20.25" x14ac:dyDescent="0.25">
      <c r="A150" s="101"/>
      <c r="B150" s="22"/>
      <c r="C150" s="32"/>
      <c r="D150" s="32"/>
    </row>
    <row r="151" spans="1:4" ht="20.25" x14ac:dyDescent="0.25">
      <c r="A151" s="101"/>
      <c r="B151" s="22"/>
      <c r="C151" s="32"/>
      <c r="D151" s="32"/>
    </row>
    <row r="152" spans="1:4" ht="20.25" x14ac:dyDescent="0.25">
      <c r="A152" s="101"/>
      <c r="B152" s="22"/>
      <c r="C152" s="32"/>
      <c r="D152" s="32"/>
    </row>
    <row r="153" spans="1:4" ht="20.25" x14ac:dyDescent="0.25">
      <c r="A153" s="101"/>
      <c r="B153" s="22"/>
      <c r="C153" s="32"/>
      <c r="D153" s="32"/>
    </row>
    <row r="154" spans="1:4" ht="20.25" x14ac:dyDescent="0.25">
      <c r="A154" s="101"/>
      <c r="B154" s="22"/>
      <c r="C154" s="32"/>
      <c r="D154" s="32"/>
    </row>
    <row r="155" spans="1:4" ht="20.25" x14ac:dyDescent="0.25">
      <c r="A155" s="101"/>
      <c r="B155" s="22"/>
      <c r="C155" s="32"/>
      <c r="D155" s="32"/>
    </row>
    <row r="156" spans="1:4" ht="20.25" x14ac:dyDescent="0.25">
      <c r="A156" s="101"/>
      <c r="B156" s="22"/>
      <c r="C156" s="32"/>
      <c r="D156" s="32"/>
    </row>
    <row r="157" spans="1:4" ht="20.25" x14ac:dyDescent="0.25">
      <c r="A157" s="101"/>
      <c r="B157" s="22"/>
      <c r="C157" s="32"/>
      <c r="D157" s="32"/>
    </row>
    <row r="158" spans="1:4" ht="20.25" x14ac:dyDescent="0.25">
      <c r="A158" s="101"/>
      <c r="B158" s="22"/>
      <c r="C158" s="32"/>
      <c r="D158" s="32"/>
    </row>
    <row r="159" spans="1:4" ht="20.25" x14ac:dyDescent="0.25">
      <c r="A159" s="101"/>
      <c r="B159" s="22"/>
      <c r="C159" s="32"/>
      <c r="D159" s="32"/>
    </row>
    <row r="160" spans="1:4" ht="20.25" x14ac:dyDescent="0.25">
      <c r="A160" s="101"/>
      <c r="B160" s="22"/>
      <c r="C160" s="32"/>
      <c r="D160" s="32"/>
    </row>
    <row r="161" spans="1:4" ht="20.25" x14ac:dyDescent="0.25">
      <c r="A161" s="101"/>
      <c r="B161" s="22"/>
      <c r="C161" s="32"/>
      <c r="D161" s="32"/>
    </row>
    <row r="162" spans="1:4" ht="20.25" x14ac:dyDescent="0.25">
      <c r="A162" s="101"/>
      <c r="B162" s="22"/>
      <c r="C162" s="32"/>
      <c r="D162" s="32"/>
    </row>
    <row r="163" spans="1:4" ht="20.25" x14ac:dyDescent="0.25">
      <c r="A163" s="101"/>
      <c r="B163" s="22"/>
      <c r="C163" s="32"/>
      <c r="D163" s="32"/>
    </row>
    <row r="164" spans="1:4" ht="20.25" x14ac:dyDescent="0.25">
      <c r="A164" s="101"/>
      <c r="B164" s="22"/>
      <c r="C164" s="32"/>
      <c r="D164" s="32"/>
    </row>
    <row r="165" spans="1:4" ht="20.25" x14ac:dyDescent="0.25">
      <c r="A165" s="101"/>
      <c r="B165" s="22"/>
      <c r="C165" s="32"/>
      <c r="D165" s="32"/>
    </row>
    <row r="166" spans="1:4" ht="20.25" x14ac:dyDescent="0.25">
      <c r="A166" s="101"/>
      <c r="B166" s="22"/>
      <c r="C166" s="32"/>
      <c r="D166" s="32"/>
    </row>
    <row r="167" spans="1:4" ht="20.25" x14ac:dyDescent="0.25">
      <c r="A167" s="101"/>
      <c r="B167" s="22"/>
      <c r="C167" s="32"/>
      <c r="D167" s="32"/>
    </row>
    <row r="168" spans="1:4" ht="20.25" x14ac:dyDescent="0.25">
      <c r="A168" s="101"/>
      <c r="B168" s="22"/>
      <c r="C168" s="32"/>
      <c r="D168" s="32"/>
    </row>
    <row r="169" spans="1:4" ht="20.25" x14ac:dyDescent="0.25">
      <c r="A169" s="101"/>
      <c r="B169" s="22"/>
      <c r="C169" s="32"/>
      <c r="D169" s="32"/>
    </row>
    <row r="170" spans="1:4" ht="20.25" x14ac:dyDescent="0.25">
      <c r="A170" s="101"/>
      <c r="B170" s="22"/>
      <c r="C170" s="32"/>
      <c r="D170" s="32"/>
    </row>
    <row r="171" spans="1:4" ht="20.25" x14ac:dyDescent="0.25">
      <c r="A171" s="101"/>
      <c r="B171" s="22"/>
      <c r="C171" s="32"/>
      <c r="D171" s="32"/>
    </row>
    <row r="172" spans="1:4" ht="20.25" x14ac:dyDescent="0.25">
      <c r="A172" s="101"/>
      <c r="B172" s="22"/>
      <c r="C172" s="32"/>
      <c r="D172" s="32"/>
    </row>
    <row r="173" spans="1:4" ht="20.25" x14ac:dyDescent="0.25">
      <c r="A173" s="101"/>
      <c r="B173" s="22"/>
      <c r="C173" s="32"/>
      <c r="D173" s="32"/>
    </row>
    <row r="174" spans="1:4" ht="20.25" x14ac:dyDescent="0.25">
      <c r="A174" s="101"/>
      <c r="B174" s="22"/>
      <c r="C174" s="32"/>
      <c r="D174" s="32"/>
    </row>
    <row r="175" spans="1:4" ht="20.25" x14ac:dyDescent="0.25">
      <c r="A175" s="101"/>
      <c r="B175" s="22"/>
      <c r="C175" s="32"/>
      <c r="D175" s="32"/>
    </row>
    <row r="176" spans="1:4" ht="20.25" x14ac:dyDescent="0.25">
      <c r="A176" s="101"/>
      <c r="B176" s="22"/>
      <c r="C176" s="32"/>
      <c r="D176" s="32"/>
    </row>
    <row r="177" spans="1:4" ht="20.25" x14ac:dyDescent="0.25">
      <c r="A177" s="101"/>
      <c r="B177" s="22"/>
      <c r="C177" s="32"/>
      <c r="D177" s="32"/>
    </row>
    <row r="178" spans="1:4" ht="20.25" x14ac:dyDescent="0.25">
      <c r="A178" s="101"/>
      <c r="B178" s="22"/>
      <c r="C178" s="32"/>
      <c r="D178" s="32"/>
    </row>
    <row r="179" spans="1:4" ht="20.25" x14ac:dyDescent="0.25">
      <c r="A179" s="101"/>
      <c r="B179" s="22"/>
      <c r="C179" s="32"/>
      <c r="D179" s="32"/>
    </row>
    <row r="180" spans="1:4" ht="20.25" x14ac:dyDescent="0.25">
      <c r="A180" s="101"/>
      <c r="B180" s="22"/>
      <c r="C180" s="32"/>
      <c r="D180" s="32"/>
    </row>
    <row r="181" spans="1:4" ht="20.25" x14ac:dyDescent="0.25">
      <c r="A181" s="101"/>
      <c r="B181" s="22"/>
      <c r="C181" s="32"/>
      <c r="D181" s="32"/>
    </row>
    <row r="182" spans="1:4" ht="20.25" x14ac:dyDescent="0.25">
      <c r="A182" s="101"/>
      <c r="B182" s="22"/>
      <c r="C182" s="32"/>
      <c r="D182" s="32"/>
    </row>
    <row r="183" spans="1:4" ht="20.25" x14ac:dyDescent="0.25">
      <c r="A183" s="101"/>
      <c r="B183" s="22"/>
      <c r="C183" s="32"/>
      <c r="D183" s="32"/>
    </row>
    <row r="184" spans="1:4" ht="20.25" x14ac:dyDescent="0.25">
      <c r="A184" s="101"/>
      <c r="B184" s="22"/>
      <c r="C184" s="32"/>
      <c r="D184" s="32"/>
    </row>
    <row r="185" spans="1:4" ht="20.25" x14ac:dyDescent="0.25">
      <c r="A185" s="101"/>
      <c r="B185" s="22"/>
      <c r="C185" s="32"/>
      <c r="D185" s="32"/>
    </row>
    <row r="186" spans="1:4" ht="20.25" x14ac:dyDescent="0.25">
      <c r="A186" s="101"/>
      <c r="B186" s="22"/>
      <c r="C186" s="32"/>
      <c r="D186" s="32"/>
    </row>
    <row r="187" spans="1:4" ht="20.25" x14ac:dyDescent="0.25">
      <c r="A187" s="101"/>
      <c r="B187" s="22"/>
      <c r="C187" s="32"/>
      <c r="D187" s="32"/>
    </row>
    <row r="188" spans="1:4" ht="20.25" x14ac:dyDescent="0.25">
      <c r="A188" s="101"/>
      <c r="B188" s="22"/>
      <c r="C188" s="32"/>
      <c r="D188" s="32"/>
    </row>
    <row r="189" spans="1:4" ht="20.25" x14ac:dyDescent="0.25">
      <c r="A189" s="101"/>
      <c r="B189" s="22"/>
      <c r="C189" s="32"/>
      <c r="D189" s="32"/>
    </row>
    <row r="190" spans="1:4" ht="20.25" x14ac:dyDescent="0.25">
      <c r="A190" s="101"/>
      <c r="B190" s="22"/>
      <c r="C190" s="32"/>
      <c r="D190" s="32"/>
    </row>
    <row r="191" spans="1:4" ht="20.25" x14ac:dyDescent="0.25">
      <c r="A191" s="101"/>
      <c r="B191" s="22"/>
      <c r="C191" s="32"/>
      <c r="D191" s="32"/>
    </row>
    <row r="192" spans="1:4" ht="20.25" x14ac:dyDescent="0.25">
      <c r="A192" s="101"/>
      <c r="B192" s="22"/>
      <c r="C192" s="32"/>
      <c r="D192" s="32"/>
    </row>
    <row r="193" spans="1:4" ht="20.25" x14ac:dyDescent="0.25">
      <c r="A193" s="101"/>
      <c r="B193" s="22"/>
      <c r="C193" s="32"/>
      <c r="D193" s="32"/>
    </row>
    <row r="194" spans="1:4" ht="20.25" x14ac:dyDescent="0.25">
      <c r="A194" s="101"/>
      <c r="B194" s="22"/>
      <c r="C194" s="32"/>
      <c r="D194" s="32"/>
    </row>
    <row r="195" spans="1:4" ht="20.25" x14ac:dyDescent="0.25">
      <c r="A195" s="101"/>
      <c r="B195" s="22"/>
      <c r="C195" s="32"/>
      <c r="D195" s="32"/>
    </row>
    <row r="196" spans="1:4" ht="20.25" x14ac:dyDescent="0.25">
      <c r="A196" s="101"/>
      <c r="B196" s="22"/>
      <c r="C196" s="32"/>
      <c r="D196" s="32"/>
    </row>
    <row r="197" spans="1:4" ht="20.25" x14ac:dyDescent="0.25">
      <c r="A197" s="101"/>
      <c r="B197" s="22"/>
      <c r="C197" s="32"/>
      <c r="D197" s="32"/>
    </row>
    <row r="198" spans="1:4" ht="20.25" x14ac:dyDescent="0.25">
      <c r="A198" s="101"/>
      <c r="B198" s="22"/>
      <c r="C198" s="32"/>
      <c r="D198" s="32"/>
    </row>
    <row r="199" spans="1:4" ht="20.25" x14ac:dyDescent="0.25">
      <c r="A199" s="101"/>
      <c r="B199" s="22"/>
      <c r="C199" s="32"/>
      <c r="D199" s="32"/>
    </row>
    <row r="200" spans="1:4" ht="20.25" x14ac:dyDescent="0.25">
      <c r="A200" s="101"/>
      <c r="B200" s="22"/>
      <c r="C200" s="32"/>
      <c r="D200" s="32"/>
    </row>
    <row r="201" spans="1:4" ht="20.25" x14ac:dyDescent="0.25">
      <c r="A201" s="101"/>
      <c r="B201" s="22"/>
      <c r="C201" s="32"/>
      <c r="D201" s="32"/>
    </row>
    <row r="202" spans="1:4" ht="20.25" x14ac:dyDescent="0.25">
      <c r="A202" s="101"/>
      <c r="B202" s="22"/>
      <c r="C202" s="32"/>
      <c r="D202" s="32"/>
    </row>
    <row r="203" spans="1:4" ht="20.25" x14ac:dyDescent="0.25">
      <c r="A203" s="101"/>
      <c r="B203" s="22"/>
      <c r="C203" s="32"/>
      <c r="D203" s="32"/>
    </row>
    <row r="204" spans="1:4" ht="20.25" x14ac:dyDescent="0.25">
      <c r="A204" s="101"/>
      <c r="B204" s="22"/>
      <c r="C204" s="32"/>
      <c r="D204" s="32"/>
    </row>
    <row r="205" spans="1:4" ht="20.25" x14ac:dyDescent="0.25">
      <c r="A205" s="101"/>
      <c r="B205" s="22"/>
      <c r="C205" s="32"/>
      <c r="D205" s="32"/>
    </row>
    <row r="206" spans="1:4" ht="20.25" x14ac:dyDescent="0.25">
      <c r="A206" s="101"/>
      <c r="B206" s="22"/>
      <c r="C206" s="32"/>
      <c r="D206" s="32"/>
    </row>
    <row r="207" spans="1:4" ht="20.25" x14ac:dyDescent="0.25">
      <c r="A207" s="101"/>
      <c r="B207" s="22"/>
      <c r="C207" s="32"/>
      <c r="D207" s="32"/>
    </row>
    <row r="208" spans="1:4" x14ac:dyDescent="0.25">
      <c r="A208" s="81"/>
      <c r="B208" s="22"/>
      <c r="C208" s="22"/>
      <c r="D208" s="22"/>
    </row>
    <row r="209" spans="1:8" ht="20.25" x14ac:dyDescent="0.25">
      <c r="A209" s="81"/>
      <c r="B209" s="28" t="s">
        <v>248</v>
      </c>
      <c r="C209" s="28" t="s">
        <v>249</v>
      </c>
      <c r="D209" s="31" t="s">
        <v>248</v>
      </c>
      <c r="E209" s="31" t="s">
        <v>249</v>
      </c>
    </row>
    <row r="210" spans="1:8" ht="21" x14ac:dyDescent="0.35">
      <c r="A210" s="81"/>
      <c r="B210" s="29" t="s">
        <v>250</v>
      </c>
      <c r="C210" s="29" t="s">
        <v>251</v>
      </c>
      <c r="D210" t="s">
        <v>250</v>
      </c>
      <c r="F210" t="str">
        <f>IF(NOT(ISBLANK(D210)),D210,IF(NOT(ISBLANK(E210)),"     "&amp;E210,FALSE))</f>
        <v>Afectación Económica o presupuestal</v>
      </c>
      <c r="G210" t="s">
        <v>250</v>
      </c>
      <c r="H210" t="str">
        <f>IF(NOT(ISERROR(MATCH(G210,_xlfn.ANCHORARRAY(B221),0))),F228&amp;"Por favor no seleccionar los criterios de impacto",G210)</f>
        <v>❌Por favor no seleccionar los criterios de impacto</v>
      </c>
    </row>
    <row r="211" spans="1:8" ht="21" x14ac:dyDescent="0.35">
      <c r="A211" s="81"/>
      <c r="B211" s="29" t="s">
        <v>250</v>
      </c>
      <c r="C211" s="29" t="s">
        <v>222</v>
      </c>
      <c r="E211" t="s">
        <v>251</v>
      </c>
      <c r="F211" t="str">
        <f t="shared" ref="F211:F221" si="0">IF(NOT(ISBLANK(D211)),D211,IF(NOT(ISBLANK(E211)),"     "&amp;E211,FALSE))</f>
        <v xml:space="preserve">     Afectación menor a 10 SMLMV .</v>
      </c>
    </row>
    <row r="212" spans="1:8" ht="21" x14ac:dyDescent="0.35">
      <c r="A212" s="81"/>
      <c r="B212" s="29" t="s">
        <v>250</v>
      </c>
      <c r="C212" s="29" t="s">
        <v>226</v>
      </c>
      <c r="E212" t="s">
        <v>222</v>
      </c>
      <c r="F212" t="str">
        <f t="shared" si="0"/>
        <v xml:space="preserve">     Entre 10 y 50 SMLMV </v>
      </c>
    </row>
    <row r="213" spans="1:8" ht="21" x14ac:dyDescent="0.35">
      <c r="A213" s="81"/>
      <c r="B213" s="29" t="s">
        <v>250</v>
      </c>
      <c r="C213" s="29" t="s">
        <v>231</v>
      </c>
      <c r="E213" t="s">
        <v>226</v>
      </c>
      <c r="F213" t="str">
        <f t="shared" si="0"/>
        <v xml:space="preserve">     Entre 50 y 100 SMLMV </v>
      </c>
    </row>
    <row r="214" spans="1:8" ht="21" x14ac:dyDescent="0.35">
      <c r="A214" s="81"/>
      <c r="B214" s="29" t="s">
        <v>250</v>
      </c>
      <c r="C214" s="29" t="s">
        <v>236</v>
      </c>
      <c r="E214" t="s">
        <v>231</v>
      </c>
      <c r="F214" t="str">
        <f t="shared" si="0"/>
        <v xml:space="preserve">     Entre 100 y 500 SMLMV </v>
      </c>
    </row>
    <row r="215" spans="1:8" ht="21" x14ac:dyDescent="0.35">
      <c r="A215" s="81"/>
      <c r="B215" s="29" t="s">
        <v>213</v>
      </c>
      <c r="C215" s="29" t="s">
        <v>218</v>
      </c>
      <c r="E215" t="s">
        <v>236</v>
      </c>
      <c r="F215" t="str">
        <f t="shared" si="0"/>
        <v xml:space="preserve">     Mayor a 500 SMLMV </v>
      </c>
    </row>
    <row r="216" spans="1:8" ht="21" x14ac:dyDescent="0.35">
      <c r="A216" s="81"/>
      <c r="B216" s="29" t="s">
        <v>213</v>
      </c>
      <c r="C216" s="29" t="s">
        <v>252</v>
      </c>
      <c r="D216" t="s">
        <v>213</v>
      </c>
      <c r="F216" t="str">
        <f t="shared" si="0"/>
        <v>Pérdida Reputacional</v>
      </c>
    </row>
    <row r="217" spans="1:8" ht="21" x14ac:dyDescent="0.35">
      <c r="A217" s="81"/>
      <c r="B217" s="29" t="s">
        <v>213</v>
      </c>
      <c r="C217" s="29" t="s">
        <v>227</v>
      </c>
      <c r="E217" t="s">
        <v>218</v>
      </c>
      <c r="F217" t="str">
        <f t="shared" si="0"/>
        <v xml:space="preserve">     El riesgo afecta la imagen de alguna área de la organización</v>
      </c>
    </row>
    <row r="218" spans="1:8" ht="21" x14ac:dyDescent="0.35">
      <c r="A218" s="81"/>
      <c r="B218" s="29" t="s">
        <v>213</v>
      </c>
      <c r="C218" s="29" t="s">
        <v>232</v>
      </c>
      <c r="E218" t="s">
        <v>252</v>
      </c>
      <c r="F218" t="str">
        <f t="shared" si="0"/>
        <v xml:space="preserve">     El riesgo afecta la imagen de la entidad internamente, de conocimiento general, nivel interno, de junta dircetiva y accionistas y/o de provedores</v>
      </c>
    </row>
    <row r="219" spans="1:8" ht="21" x14ac:dyDescent="0.35">
      <c r="A219" s="81"/>
      <c r="B219" s="29" t="s">
        <v>213</v>
      </c>
      <c r="C219" s="29" t="s">
        <v>237</v>
      </c>
      <c r="E219" t="s">
        <v>227</v>
      </c>
      <c r="F219" t="str">
        <f t="shared" si="0"/>
        <v xml:space="preserve">     El riesgo afecta la imagen de la entidad con algunos usuarios de relevancia frente al logro de los objetivos</v>
      </c>
    </row>
    <row r="220" spans="1:8" x14ac:dyDescent="0.25">
      <c r="A220" s="81"/>
      <c r="B220" s="30"/>
      <c r="C220" s="30"/>
      <c r="E220" t="s">
        <v>232</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237</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c r="F222" t="s">
        <v>214</v>
      </c>
    </row>
    <row r="223" spans="1:8" x14ac:dyDescent="0.25">
      <c r="B223" s="30" t="str">
        <v>Pérdida Reputacional</v>
      </c>
      <c r="C223" s="30"/>
      <c r="F223" t="s">
        <v>219</v>
      </c>
    </row>
    <row r="224" spans="1:8" x14ac:dyDescent="0.25">
      <c r="B224" s="21"/>
      <c r="C224" s="21"/>
      <c r="F224" t="s">
        <v>224</v>
      </c>
    </row>
    <row r="225" spans="2:6" x14ac:dyDescent="0.25">
      <c r="B225" s="21"/>
      <c r="C225" s="21"/>
      <c r="F225" t="s">
        <v>228</v>
      </c>
    </row>
    <row r="226" spans="2:6" x14ac:dyDescent="0.25">
      <c r="B226" s="21"/>
      <c r="C226" s="21"/>
      <c r="F226" t="s">
        <v>233</v>
      </c>
    </row>
    <row r="227" spans="2:6" x14ac:dyDescent="0.25">
      <c r="B227" s="21"/>
      <c r="C227" s="21"/>
      <c r="D227" s="21"/>
      <c r="F227" t="s">
        <v>238</v>
      </c>
    </row>
    <row r="228" spans="2:6" x14ac:dyDescent="0.25">
      <c r="B228" s="21"/>
      <c r="C228" s="21"/>
      <c r="D228" s="21"/>
      <c r="F228" s="33" t="s">
        <v>253</v>
      </c>
    </row>
    <row r="229" spans="2:6" x14ac:dyDescent="0.25">
      <c r="B229" s="21"/>
      <c r="C229" s="21"/>
      <c r="D229" s="21"/>
      <c r="F229" s="33" t="s">
        <v>254</v>
      </c>
    </row>
    <row r="230" spans="2:6" x14ac:dyDescent="0.25">
      <c r="B230" s="21"/>
      <c r="C230" s="21"/>
      <c r="D230" s="21"/>
    </row>
    <row r="231" spans="2:6" x14ac:dyDescent="0.25">
      <c r="B231" s="21"/>
      <c r="C231" s="21"/>
      <c r="D231" s="21"/>
    </row>
    <row r="232" spans="2:6" x14ac:dyDescent="0.25">
      <c r="B232" s="21"/>
      <c r="C232" s="21"/>
      <c r="D232" s="21"/>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3F611-1DA3-4245-9FA1-19BCDBA48BFC}">
  <sheetPr>
    <tabColor theme="9" tint="-0.249977111117893"/>
  </sheetPr>
  <dimension ref="C2:J16"/>
  <sheetViews>
    <sheetView showGridLines="0" workbookViewId="0">
      <selection activeCell="G16" sqref="G16"/>
    </sheetView>
  </sheetViews>
  <sheetFormatPr baseColWidth="10" defaultColWidth="11.42578125" defaultRowHeight="15.75" x14ac:dyDescent="0.25"/>
  <cols>
    <col min="1" max="3" width="11.42578125" style="171"/>
    <col min="4" max="4" width="25.42578125" style="171" customWidth="1"/>
    <col min="5" max="5" width="22.5703125" style="171" customWidth="1"/>
    <col min="6" max="6" width="23.7109375" style="171" customWidth="1"/>
    <col min="7" max="7" width="45.85546875" style="171" customWidth="1"/>
    <col min="8" max="16384" width="11.42578125" style="171"/>
  </cols>
  <sheetData>
    <row r="2" spans="3:10" ht="16.5" thickBot="1" x14ac:dyDescent="0.3"/>
    <row r="3" spans="3:10" ht="32.25" thickBot="1" x14ac:dyDescent="0.3">
      <c r="C3" s="172" t="s">
        <v>255</v>
      </c>
      <c r="D3" s="173" t="s">
        <v>256</v>
      </c>
      <c r="E3" s="495" t="s">
        <v>257</v>
      </c>
      <c r="F3" s="496"/>
      <c r="G3" s="497"/>
      <c r="J3" s="182" t="s">
        <v>15</v>
      </c>
    </row>
    <row r="4" spans="3:10" x14ac:dyDescent="0.25">
      <c r="C4" s="491">
        <v>1</v>
      </c>
      <c r="D4" s="174" t="s">
        <v>11</v>
      </c>
      <c r="E4" s="175" t="s">
        <v>258</v>
      </c>
      <c r="F4" s="175" t="s">
        <v>259</v>
      </c>
      <c r="G4" s="184" t="s">
        <v>260</v>
      </c>
      <c r="H4" s="185"/>
      <c r="J4" s="183">
        <f>+H4*H6*H9*H11*H13*H15</f>
        <v>0</v>
      </c>
    </row>
    <row r="5" spans="3:10" ht="63.75" thickBot="1" x14ac:dyDescent="0.3">
      <c r="C5" s="492"/>
      <c r="D5" s="176" t="s">
        <v>261</v>
      </c>
      <c r="E5" s="177" t="s">
        <v>262</v>
      </c>
      <c r="F5" s="177" t="s">
        <v>263</v>
      </c>
      <c r="G5" s="179" t="s">
        <v>264</v>
      </c>
    </row>
    <row r="6" spans="3:10" x14ac:dyDescent="0.25">
      <c r="C6" s="491">
        <v>2</v>
      </c>
      <c r="D6" s="174" t="s">
        <v>183</v>
      </c>
      <c r="E6" s="175" t="s">
        <v>265</v>
      </c>
      <c r="F6" s="175" t="s">
        <v>266</v>
      </c>
      <c r="G6" s="184" t="s">
        <v>267</v>
      </c>
      <c r="H6" s="185"/>
    </row>
    <row r="7" spans="3:10" ht="78.75" x14ac:dyDescent="0.25">
      <c r="C7" s="498"/>
      <c r="D7" s="174" t="s">
        <v>268</v>
      </c>
      <c r="E7" s="175" t="s">
        <v>269</v>
      </c>
      <c r="F7" s="175" t="s">
        <v>270</v>
      </c>
      <c r="G7" s="175" t="s">
        <v>271</v>
      </c>
    </row>
    <row r="8" spans="3:10" ht="16.5" thickBot="1" x14ac:dyDescent="0.3">
      <c r="C8" s="492"/>
      <c r="D8" s="176" t="s">
        <v>272</v>
      </c>
      <c r="E8" s="178"/>
      <c r="F8" s="178"/>
      <c r="G8" s="178"/>
    </row>
    <row r="9" spans="3:10" x14ac:dyDescent="0.25">
      <c r="C9" s="491">
        <v>3</v>
      </c>
      <c r="D9" s="174" t="s">
        <v>273</v>
      </c>
      <c r="E9" s="175" t="s">
        <v>274</v>
      </c>
      <c r="F9" s="175" t="s">
        <v>275</v>
      </c>
      <c r="G9" s="184" t="s">
        <v>276</v>
      </c>
      <c r="H9" s="185"/>
    </row>
    <row r="10" spans="3:10" ht="63.75" thickBot="1" x14ac:dyDescent="0.3">
      <c r="C10" s="492"/>
      <c r="D10" s="176" t="s">
        <v>277</v>
      </c>
      <c r="E10" s="177" t="s">
        <v>278</v>
      </c>
      <c r="F10" s="177" t="s">
        <v>279</v>
      </c>
      <c r="G10" s="177" t="s">
        <v>280</v>
      </c>
    </row>
    <row r="11" spans="3:10" x14ac:dyDescent="0.25">
      <c r="C11" s="491">
        <v>4</v>
      </c>
      <c r="D11" s="180" t="s">
        <v>281</v>
      </c>
      <c r="E11" s="181" t="s">
        <v>282</v>
      </c>
      <c r="F11" s="181" t="s">
        <v>283</v>
      </c>
      <c r="G11" s="186" t="s">
        <v>284</v>
      </c>
      <c r="H11" s="185"/>
    </row>
    <row r="12" spans="3:10" ht="111" thickBot="1" x14ac:dyDescent="0.3">
      <c r="C12" s="492"/>
      <c r="D12" s="176" t="s">
        <v>285</v>
      </c>
      <c r="E12" s="177" t="s">
        <v>286</v>
      </c>
      <c r="F12" s="177" t="s">
        <v>287</v>
      </c>
      <c r="G12" s="177" t="s">
        <v>288</v>
      </c>
    </row>
    <row r="13" spans="3:10" x14ac:dyDescent="0.25">
      <c r="C13" s="498">
        <v>5</v>
      </c>
      <c r="D13" s="174" t="s">
        <v>289</v>
      </c>
      <c r="E13" s="175" t="s">
        <v>265</v>
      </c>
      <c r="F13" s="175" t="s">
        <v>290</v>
      </c>
      <c r="G13" s="184" t="s">
        <v>267</v>
      </c>
      <c r="H13" s="185"/>
    </row>
    <row r="14" spans="3:10" ht="79.5" thickBot="1" x14ac:dyDescent="0.3">
      <c r="C14" s="492"/>
      <c r="D14" s="176" t="s">
        <v>291</v>
      </c>
      <c r="E14" s="177" t="s">
        <v>292</v>
      </c>
      <c r="F14" s="177" t="s">
        <v>293</v>
      </c>
      <c r="G14" s="177" t="s">
        <v>294</v>
      </c>
    </row>
    <row r="15" spans="3:10" x14ac:dyDescent="0.25">
      <c r="C15" s="491">
        <v>6</v>
      </c>
      <c r="D15" s="174" t="s">
        <v>295</v>
      </c>
      <c r="E15" s="175" t="s">
        <v>265</v>
      </c>
      <c r="F15" s="493" t="s">
        <v>296</v>
      </c>
      <c r="G15" s="184" t="s">
        <v>267</v>
      </c>
      <c r="H15" s="185"/>
    </row>
    <row r="16" spans="3:10" ht="79.5" thickBot="1" x14ac:dyDescent="0.3">
      <c r="C16" s="492"/>
      <c r="D16" s="176" t="s">
        <v>297</v>
      </c>
      <c r="E16" s="177" t="s">
        <v>298</v>
      </c>
      <c r="F16" s="494"/>
      <c r="G16" s="177" t="s">
        <v>299</v>
      </c>
    </row>
  </sheetData>
  <mergeCells count="8">
    <mergeCell ref="C15:C16"/>
    <mergeCell ref="F15:F16"/>
    <mergeCell ref="E3:G3"/>
    <mergeCell ref="C4:C5"/>
    <mergeCell ref="C6:C8"/>
    <mergeCell ref="C9:C10"/>
    <mergeCell ref="C11:C12"/>
    <mergeCell ref="C13:C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2D7CED-557C-445E-9A86-EF8905F451FD}">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CF9C3CB2-F718-48AD-8AD9-86772624CE26}"/>
</file>

<file path=customXml/itemProps3.xml><?xml version="1.0" encoding="utf-8"?>
<ds:datastoreItem xmlns:ds="http://schemas.openxmlformats.org/officeDocument/2006/customXml" ds:itemID="{C21D8248-B1FC-4597-891F-A75668D08F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Instructivo</vt:lpstr>
      <vt:lpstr>Contexto proceso</vt:lpstr>
      <vt:lpstr>Mapa final</vt:lpstr>
      <vt:lpstr>Impacto-clasificacion</vt:lpstr>
      <vt:lpstr>Matriz Calor Inherente</vt:lpstr>
      <vt:lpstr>Matriz Calor Residual</vt:lpstr>
      <vt:lpstr>Tabla probabilidad</vt:lpstr>
      <vt:lpstr>Tabla Impacto</vt:lpstr>
      <vt:lpstr>Criterios riesgos amb.</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Luisa Fernanda Ibagon Moreno</cp:lastModifiedBy>
  <cp:revision/>
  <dcterms:created xsi:type="dcterms:W3CDTF">2020-03-24T23:12:47Z</dcterms:created>
  <dcterms:modified xsi:type="dcterms:W3CDTF">2023-10-02T15:39:58Z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