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4. Abril/Caso HOLA 241862/"/>
    </mc:Choice>
  </mc:AlternateContent>
  <xr:revisionPtr revIDLastSave="0" documentId="8_{E78E9B69-42A1-4E37-8459-BFBB21359B32}" xr6:coauthVersionLast="47" xr6:coauthVersionMax="47" xr10:uidLastSave="{00000000-0000-0000-0000-000000000000}"/>
  <bookViews>
    <workbookView xWindow="-120" yWindow="-120" windowWidth="20730" windowHeight="11160" tabRatio="882" firstSheet="1" activeTab="2" xr2:uid="{00000000-000D-0000-FFFF-FFFF00000000}"/>
  </bookViews>
  <sheets>
    <sheet name="Instructivo" sheetId="20" r:id="rId1"/>
    <sheet name="Contexto proceso" sheetId="21" r:id="rId2"/>
    <sheet name="Mapa final" sheetId="1" r:id="rId3"/>
    <sheet name="Impacto-clasificacion" sheetId="22" state="hidden" r:id="rId4"/>
    <sheet name="Matriz Calor Inherente" sheetId="18" r:id="rId5"/>
    <sheet name="Matriz Calor Residual" sheetId="19" r:id="rId6"/>
    <sheet name="Tabla probabilidad" sheetId="12" r:id="rId7"/>
    <sheet name="Tabla Impacto" sheetId="13" r:id="rId8"/>
    <sheet name="Criterios riesgos amb." sheetId="23" r:id="rId9"/>
    <sheet name="Tabla Valoración controles" sheetId="15" r:id="rId10"/>
    <sheet name="Opciones Tratamiento" sheetId="16" state="hidden" r:id="rId11"/>
    <sheet name="Hoja1" sheetId="11" state="hidden" r:id="rId12"/>
  </sheets>
  <externalReferences>
    <externalReference r:id="rId13"/>
    <externalReference r:id="rId14"/>
    <externalReference r:id="rId15"/>
    <externalReference r:id="rId16"/>
    <externalReference r:id="rId17"/>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2"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23" l="1"/>
  <c r="T24" i="1"/>
  <c r="Q24" i="1"/>
  <c r="H24" i="1"/>
  <c r="K60" i="1"/>
  <c r="K57" i="1"/>
  <c r="K55" i="1"/>
  <c r="K33" i="1"/>
  <c r="K67" i="1"/>
  <c r="K31" i="1"/>
  <c r="K58" i="1"/>
  <c r="K52" i="1"/>
  <c r="K32" i="1"/>
  <c r="K40" i="1"/>
  <c r="K37" i="1"/>
  <c r="K61" i="1"/>
  <c r="K49" i="1"/>
  <c r="K54" i="1"/>
  <c r="K41" i="1"/>
  <c r="K29" i="1"/>
  <c r="K63" i="1"/>
  <c r="K64" i="1"/>
  <c r="K39" i="1"/>
  <c r="K43" i="1"/>
  <c r="K53" i="1"/>
  <c r="K34" i="1"/>
  <c r="K35" i="1"/>
  <c r="K44" i="1"/>
  <c r="K38" i="1"/>
  <c r="K65" i="1"/>
  <c r="K28" i="1"/>
  <c r="K66" i="1"/>
  <c r="K51" i="1"/>
  <c r="K45" i="1"/>
  <c r="K59" i="1"/>
  <c r="K46" i="1"/>
  <c r="K47" i="1"/>
  <c r="F221" i="13"/>
  <c r="F211" i="13"/>
  <c r="F212" i="13"/>
  <c r="F213" i="13"/>
  <c r="F214" i="13"/>
  <c r="F215" i="13"/>
  <c r="F216" i="13"/>
  <c r="F217" i="13"/>
  <c r="F218" i="13"/>
  <c r="F219" i="13"/>
  <c r="F220" i="13"/>
  <c r="F210" i="13"/>
  <c r="K25" i="1"/>
  <c r="B221" i="13" a="1"/>
  <c r="B221" i="13"/>
  <c r="Q50" i="1"/>
  <c r="Q43"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7" i="1"/>
  <c r="Q67" i="1"/>
  <c r="X67" i="1" s="1"/>
  <c r="T66" i="1"/>
  <c r="Q66" i="1"/>
  <c r="T65" i="1"/>
  <c r="Q65" i="1"/>
  <c r="T64" i="1"/>
  <c r="Q64" i="1"/>
  <c r="T63" i="1"/>
  <c r="Q63" i="1"/>
  <c r="T62" i="1"/>
  <c r="Q62" i="1"/>
  <c r="H62" i="1"/>
  <c r="I62" i="1" s="1"/>
  <c r="T61" i="1"/>
  <c r="Q61" i="1"/>
  <c r="T60" i="1"/>
  <c r="Q60" i="1"/>
  <c r="T59" i="1"/>
  <c r="Q59" i="1"/>
  <c r="T58" i="1"/>
  <c r="Q58" i="1"/>
  <c r="T57" i="1"/>
  <c r="Q57" i="1"/>
  <c r="T56" i="1"/>
  <c r="Q56" i="1"/>
  <c r="H56" i="1"/>
  <c r="I56" i="1" s="1"/>
  <c r="T55" i="1"/>
  <c r="Q55" i="1"/>
  <c r="T54" i="1"/>
  <c r="Q54" i="1"/>
  <c r="X55" i="1" s="1"/>
  <c r="Z55" i="1" s="1"/>
  <c r="T53" i="1"/>
  <c r="Q53" i="1"/>
  <c r="T52" i="1"/>
  <c r="Q52" i="1"/>
  <c r="T51" i="1"/>
  <c r="Q51" i="1"/>
  <c r="AB51" i="1"/>
  <c r="T50" i="1"/>
  <c r="H50" i="1"/>
  <c r="I50" i="1" s="1"/>
  <c r="T48" i="1"/>
  <c r="Q48" i="1"/>
  <c r="H48" i="1"/>
  <c r="I48" i="1" s="1"/>
  <c r="T47" i="1"/>
  <c r="Q47" i="1"/>
  <c r="T46" i="1"/>
  <c r="Q46" i="1"/>
  <c r="T45" i="1"/>
  <c r="Q45" i="1"/>
  <c r="T44" i="1"/>
  <c r="Q44" i="1"/>
  <c r="T43" i="1"/>
  <c r="T42" i="1"/>
  <c r="Q42" i="1"/>
  <c r="AB43" i="1" s="1"/>
  <c r="H42" i="1"/>
  <c r="I42" i="1" s="1"/>
  <c r="T41" i="1"/>
  <c r="Q41" i="1"/>
  <c r="T40" i="1"/>
  <c r="Q40" i="1"/>
  <c r="T39" i="1"/>
  <c r="Q39" i="1"/>
  <c r="T38" i="1"/>
  <c r="Q38" i="1"/>
  <c r="T37" i="1"/>
  <c r="Q37" i="1"/>
  <c r="T36" i="1"/>
  <c r="Q36" i="1"/>
  <c r="H36" i="1"/>
  <c r="I36" i="1" s="1"/>
  <c r="T35" i="1"/>
  <c r="Q35" i="1"/>
  <c r="T34" i="1"/>
  <c r="Q34" i="1"/>
  <c r="T33" i="1"/>
  <c r="Q33" i="1"/>
  <c r="T32" i="1"/>
  <c r="Q32" i="1"/>
  <c r="T31" i="1"/>
  <c r="Q31" i="1"/>
  <c r="T30" i="1"/>
  <c r="Q30" i="1"/>
  <c r="H30" i="1"/>
  <c r="I30" i="1" s="1"/>
  <c r="T29" i="1"/>
  <c r="Q29" i="1"/>
  <c r="T28" i="1"/>
  <c r="AB28" i="1" s="1"/>
  <c r="AA28" i="1" s="1"/>
  <c r="Q28" i="1"/>
  <c r="T27" i="1"/>
  <c r="Q27" i="1"/>
  <c r="AB27" i="1" s="1"/>
  <c r="AA27" i="1" s="1"/>
  <c r="H27" i="1"/>
  <c r="I27" i="1" s="1"/>
  <c r="H26" i="1"/>
  <c r="I26" i="1" s="1"/>
  <c r="T26" i="1"/>
  <c r="Q26" i="1"/>
  <c r="X62" i="1"/>
  <c r="Y62" i="1" s="1"/>
  <c r="X56" i="1"/>
  <c r="Z56" i="1" s="1"/>
  <c r="X50" i="1"/>
  <c r="Z50" i="1" s="1"/>
  <c r="X48" i="1"/>
  <c r="X42" i="1"/>
  <c r="Y42" i="1" s="1"/>
  <c r="X63" i="1"/>
  <c r="Y63" i="1" s="1"/>
  <c r="X51" i="1"/>
  <c r="Z51" i="1" s="1"/>
  <c r="X43" i="1"/>
  <c r="Z43" i="1" s="1"/>
  <c r="Y51" i="1"/>
  <c r="X53" i="1"/>
  <c r="X4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X54" i="1"/>
  <c r="Y55" i="1"/>
  <c r="AB56" i="1"/>
  <c r="AA56" i="1" s="1"/>
  <c r="AB42" i="1"/>
  <c r="AA42" i="1" s="1"/>
  <c r="AB50" i="1"/>
  <c r="AA50" i="1" s="1"/>
  <c r="AB65" i="1"/>
  <c r="AA65" i="1" s="1"/>
  <c r="AA43" i="1"/>
  <c r="AB44" i="1"/>
  <c r="AA44" i="1" s="1"/>
  <c r="AA51" i="1"/>
  <c r="AB66" i="1"/>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B53" i="1"/>
  <c r="AA53" i="1" s="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47" i="1"/>
  <c r="AA47" i="1" s="1"/>
  <c r="AB39" i="1"/>
  <c r="AA39" i="1" s="1"/>
  <c r="AB54" i="1"/>
  <c r="AA54" i="1" s="1"/>
  <c r="AA66" i="1"/>
  <c r="AB67" i="1"/>
  <c r="AA67" i="1" s="1"/>
  <c r="AB40" i="1"/>
  <c r="AA40" i="1" s="1"/>
  <c r="AB41" i="1"/>
  <c r="AA41" i="1" s="1"/>
  <c r="AB55" i="1"/>
  <c r="AA55" i="1" s="1"/>
  <c r="K42" i="1"/>
  <c r="L42" i="1" s="1"/>
  <c r="K24" i="1"/>
  <c r="L24" i="1" s="1"/>
  <c r="M24" i="1" s="1"/>
  <c r="K30" i="1"/>
  <c r="L30" i="1" s="1"/>
  <c r="K27" i="1"/>
  <c r="L27" i="1" s="1"/>
  <c r="K50" i="1"/>
  <c r="L50" i="1" s="1"/>
  <c r="K48" i="1"/>
  <c r="K36" i="1"/>
  <c r="L36" i="1" s="1"/>
  <c r="K26" i="1"/>
  <c r="L26" i="1" s="1"/>
  <c r="K62" i="1"/>
  <c r="L62" i="1" s="1"/>
  <c r="K56" i="1"/>
  <c r="L56" i="1" s="1"/>
  <c r="M48" i="1"/>
  <c r="AB48" i="1"/>
  <c r="AA48" i="1" s="1"/>
  <c r="J42" i="18"/>
  <c r="P34" i="18"/>
  <c r="AB18" i="18"/>
  <c r="AB42" i="18"/>
  <c r="AH34" i="18"/>
  <c r="P10" i="18"/>
  <c r="V34" i="18"/>
  <c r="P42" i="18"/>
  <c r="V42" i="18"/>
  <c r="AH42" i="18"/>
  <c r="AB26" i="18"/>
  <c r="AH26" i="18"/>
  <c r="V26" i="18"/>
  <c r="AB34" i="18"/>
  <c r="V10" i="18"/>
  <c r="AH18" i="18"/>
  <c r="J34" i="18"/>
  <c r="J10" i="18"/>
  <c r="AB10" i="18"/>
  <c r="J18" i="18"/>
  <c r="N48" i="1"/>
  <c r="P26" i="18"/>
  <c r="J26" i="18"/>
  <c r="AH10" i="18"/>
  <c r="P18" i="18"/>
  <c r="V18" i="18"/>
  <c r="AB62" i="1"/>
  <c r="AA62" i="1" s="1"/>
  <c r="Z42" i="1" l="1"/>
  <c r="X27" i="1"/>
  <c r="AF34" i="18"/>
  <c r="N56" i="1"/>
  <c r="Z62" i="1"/>
  <c r="X26" i="1"/>
  <c r="Z26" i="1" s="1"/>
  <c r="R32" i="18"/>
  <c r="AJ40" i="18"/>
  <c r="J44" i="18"/>
  <c r="AB44" i="18"/>
  <c r="AB24" i="1"/>
  <c r="AA24" i="1" s="1"/>
  <c r="AL18" i="18"/>
  <c r="AL26" i="18"/>
  <c r="R14" i="18"/>
  <c r="R22" i="18"/>
  <c r="AA18" i="19"/>
  <c r="AG28" i="19"/>
  <c r="AM8" i="19"/>
  <c r="AG8" i="19"/>
  <c r="AM28" i="19"/>
  <c r="AM38" i="19"/>
  <c r="U38" i="19"/>
  <c r="O48" i="19"/>
  <c r="O8" i="19"/>
  <c r="AG18" i="19"/>
  <c r="AA8" i="19"/>
  <c r="AM48" i="19"/>
  <c r="AA28" i="19"/>
  <c r="AA48" i="19"/>
  <c r="AG48" i="19"/>
  <c r="AG38" i="19"/>
  <c r="U28" i="19"/>
  <c r="O18" i="19"/>
  <c r="O38" i="19"/>
  <c r="V25" i="19"/>
  <c r="V35" i="19"/>
  <c r="AB25" i="19"/>
  <c r="AH45" i="19"/>
  <c r="AB45" i="19"/>
  <c r="P15" i="19"/>
  <c r="P25" i="19"/>
  <c r="O53" i="19"/>
  <c r="U23" i="19"/>
  <c r="AG33" i="19"/>
  <c r="U53" i="19"/>
  <c r="AM13" i="19"/>
  <c r="AG53" i="19"/>
  <c r="AA23" i="19"/>
  <c r="AC55" i="1"/>
  <c r="U13" i="19"/>
  <c r="O23" i="19"/>
  <c r="AM33" i="19"/>
  <c r="AA53" i="19"/>
  <c r="O33" i="19"/>
  <c r="AM53" i="19"/>
  <c r="O13" i="19"/>
  <c r="AG13" i="19"/>
  <c r="AA13" i="19"/>
  <c r="O43" i="19"/>
  <c r="U33" i="19"/>
  <c r="M62" i="1"/>
  <c r="AB12" i="18"/>
  <c r="T26" i="18"/>
  <c r="AJ8" i="18"/>
  <c r="AD38" i="18"/>
  <c r="AB36" i="18"/>
  <c r="N62" i="1"/>
  <c r="AD24" i="18"/>
  <c r="V12" i="18"/>
  <c r="J20" i="18"/>
  <c r="AL34" i="18"/>
  <c r="AF42" i="18"/>
  <c r="AJ6" i="18"/>
  <c r="V22" i="18"/>
  <c r="AB14" i="18"/>
  <c r="P30" i="18"/>
  <c r="V14" i="18"/>
  <c r="AB22" i="18"/>
  <c r="AB6" i="18"/>
  <c r="J22" i="18"/>
  <c r="P14" i="18"/>
  <c r="V6" i="18"/>
  <c r="AH38" i="18"/>
  <c r="T6" i="19"/>
  <c r="P6" i="18"/>
  <c r="J38" i="18"/>
  <c r="J30" i="18"/>
  <c r="V38" i="18"/>
  <c r="AF32" i="18"/>
  <c r="AL8" i="18"/>
  <c r="T24" i="18"/>
  <c r="N16" i="18"/>
  <c r="N24" i="18"/>
  <c r="AF16" i="18"/>
  <c r="AL16" i="18"/>
  <c r="T32" i="18"/>
  <c r="AF24" i="18"/>
  <c r="Z40" i="18"/>
  <c r="Z16" i="18"/>
  <c r="N32" i="18"/>
  <c r="N8" i="18"/>
  <c r="AF40" i="18"/>
  <c r="Z24" i="18"/>
  <c r="T40" i="18"/>
  <c r="AF8" i="18"/>
  <c r="AL24" i="18"/>
  <c r="Z8" i="18"/>
  <c r="AL32" i="18"/>
  <c r="N42" i="1"/>
  <c r="M42" i="1"/>
  <c r="T8" i="18"/>
  <c r="Z32" i="18"/>
  <c r="AL40" i="18"/>
  <c r="T16" i="18"/>
  <c r="N40" i="18"/>
  <c r="X31" i="1"/>
  <c r="X30" i="1"/>
  <c r="AB31" i="1"/>
  <c r="AA31" i="1" s="1"/>
  <c r="AB30" i="1"/>
  <c r="AA30" i="1" s="1"/>
  <c r="X33" i="1"/>
  <c r="AB33" i="1"/>
  <c r="AA33" i="1" s="1"/>
  <c r="X32" i="1"/>
  <c r="AB32" i="1"/>
  <c r="AA32" i="1" s="1"/>
  <c r="X35" i="1"/>
  <c r="AB34" i="1"/>
  <c r="AA34" i="1" s="1"/>
  <c r="X34" i="1"/>
  <c r="AB35" i="1"/>
  <c r="AA35" i="1" s="1"/>
  <c r="X57" i="1"/>
  <c r="AB58" i="1"/>
  <c r="AA58" i="1" s="1"/>
  <c r="AB57" i="1"/>
  <c r="AA57" i="1" s="1"/>
  <c r="X58" i="1"/>
  <c r="Y58" i="1" s="1"/>
  <c r="X59" i="1"/>
  <c r="X60" i="1"/>
  <c r="AB59" i="1"/>
  <c r="AA59" i="1" s="1"/>
  <c r="AB60" i="1"/>
  <c r="AA60" i="1" s="1"/>
  <c r="X61" i="1"/>
  <c r="AB61" i="1"/>
  <c r="AA61" i="1" s="1"/>
  <c r="V55" i="19"/>
  <c r="AB55" i="19"/>
  <c r="V15" i="19"/>
  <c r="V45" i="19"/>
  <c r="J12" i="18"/>
  <c r="V20" i="18"/>
  <c r="AB20" i="18"/>
  <c r="AH36" i="18"/>
  <c r="P36" i="18"/>
  <c r="P44" i="18"/>
  <c r="P28" i="18"/>
  <c r="AH12" i="18"/>
  <c r="J6" i="18"/>
  <c r="AH6" i="18"/>
  <c r="AB38" i="18"/>
  <c r="J14" i="18"/>
  <c r="P22" i="18"/>
  <c r="N34" i="18"/>
  <c r="AF18" i="18"/>
  <c r="Z10" i="18"/>
  <c r="T18" i="18"/>
  <c r="AJ24" i="18"/>
  <c r="X8" i="18"/>
  <c r="AJ16" i="18"/>
  <c r="AJ22" i="18"/>
  <c r="L6" i="18"/>
  <c r="AC43" i="19"/>
  <c r="Q53" i="19"/>
  <c r="AI33" i="19"/>
  <c r="AI23" i="19"/>
  <c r="W23" i="19"/>
  <c r="AI13" i="19"/>
  <c r="W43" i="19"/>
  <c r="K43" i="19"/>
  <c r="K53" i="19"/>
  <c r="Q13" i="19"/>
  <c r="W53" i="19"/>
  <c r="K23" i="19"/>
  <c r="K13" i="19"/>
  <c r="AC33" i="19"/>
  <c r="AC23" i="19"/>
  <c r="W13" i="19"/>
  <c r="AI43" i="19"/>
  <c r="AI53" i="19"/>
  <c r="AC51" i="1"/>
  <c r="AC13" i="19"/>
  <c r="Q43" i="19"/>
  <c r="Q33" i="19"/>
  <c r="W33" i="19"/>
  <c r="AC53" i="19"/>
  <c r="Q23" i="19"/>
  <c r="V36" i="18"/>
  <c r="AH44" i="18"/>
  <c r="AH20" i="18"/>
  <c r="J28" i="18"/>
  <c r="J36" i="18"/>
  <c r="AB28" i="18"/>
  <c r="AD16" i="18"/>
  <c r="X16" i="18"/>
  <c r="N36" i="1"/>
  <c r="L8" i="18"/>
  <c r="P55" i="19"/>
  <c r="AB35" i="19"/>
  <c r="AH55" i="19"/>
  <c r="AH28" i="18"/>
  <c r="V28" i="18"/>
  <c r="V44" i="18"/>
  <c r="P20" i="18"/>
  <c r="P12" i="18"/>
  <c r="AH22" i="18"/>
  <c r="AB30" i="18"/>
  <c r="AH30" i="18"/>
  <c r="P38" i="18"/>
  <c r="V30" i="18"/>
  <c r="AH14" i="18"/>
  <c r="Z34" i="18"/>
  <c r="T34" i="18"/>
  <c r="Z18" i="18"/>
  <c r="AD40" i="18"/>
  <c r="R40" i="18"/>
  <c r="AD8" i="18"/>
  <c r="L16" i="18"/>
  <c r="X14" i="18"/>
  <c r="K33" i="19"/>
  <c r="U43" i="19"/>
  <c r="AA43" i="19"/>
  <c r="AG43" i="19"/>
  <c r="AM23" i="19"/>
  <c r="AA33" i="19"/>
  <c r="AG23" i="19"/>
  <c r="AM43" i="19"/>
  <c r="U48" i="19"/>
  <c r="AM18" i="19"/>
  <c r="U18" i="19"/>
  <c r="AA38" i="19"/>
  <c r="U8" i="19"/>
  <c r="O28" i="19"/>
  <c r="AH41" i="19"/>
  <c r="V41" i="19"/>
  <c r="V11" i="19"/>
  <c r="P51" i="19"/>
  <c r="P11" i="19"/>
  <c r="AB41" i="19"/>
  <c r="J21" i="19"/>
  <c r="J51" i="19"/>
  <c r="Y54" i="1"/>
  <c r="Z54" i="1"/>
  <c r="X28" i="1"/>
  <c r="X29" i="1"/>
  <c r="AB29" i="1"/>
  <c r="AA29" i="1" s="1"/>
  <c r="AB37" i="1"/>
  <c r="AA37" i="1" s="1"/>
  <c r="X36" i="1"/>
  <c r="X37" i="1"/>
  <c r="AB36" i="1"/>
  <c r="AA36" i="1" s="1"/>
  <c r="X38" i="1"/>
  <c r="X39" i="1"/>
  <c r="AB38" i="1"/>
  <c r="AA38" i="1" s="1"/>
  <c r="X40" i="1"/>
  <c r="X41" i="1"/>
  <c r="X44" i="1"/>
  <c r="AB45" i="1"/>
  <c r="AA45" i="1" s="1"/>
  <c r="X45" i="1"/>
  <c r="X46" i="1"/>
  <c r="X47" i="1"/>
  <c r="X52" i="1"/>
  <c r="AB52" i="1"/>
  <c r="AA52" i="1" s="1"/>
  <c r="AB63" i="1"/>
  <c r="AA63" i="1" s="1"/>
  <c r="AI25" i="19" s="1"/>
  <c r="AB64" i="1"/>
  <c r="AA64" i="1" s="1"/>
  <c r="X64" i="1"/>
  <c r="X65" i="1"/>
  <c r="X66" i="1"/>
  <c r="Y67" i="1"/>
  <c r="AA35" i="19" s="1"/>
  <c r="Z67" i="1"/>
  <c r="X25" i="1"/>
  <c r="Y53" i="1"/>
  <c r="Z53" i="1"/>
  <c r="AC15" i="19"/>
  <c r="AC45" i="19"/>
  <c r="W35" i="19"/>
  <c r="AC55" i="19"/>
  <c r="Q25" i="19"/>
  <c r="AI55" i="19"/>
  <c r="K55" i="19"/>
  <c r="K15" i="19"/>
  <c r="AB46" i="1"/>
  <c r="AA46" i="1" s="1"/>
  <c r="Y50" i="1"/>
  <c r="AH23" i="19" s="1"/>
  <c r="Z48" i="1"/>
  <c r="Y48" i="1"/>
  <c r="AB32" i="19" s="1"/>
  <c r="Y27" i="1"/>
  <c r="AH8" i="19" s="1"/>
  <c r="Z27" i="1"/>
  <c r="Y56" i="1"/>
  <c r="T14" i="18"/>
  <c r="T38" i="18"/>
  <c r="N27" i="1"/>
  <c r="AF38" i="18"/>
  <c r="AL22" i="18"/>
  <c r="Z22" i="18"/>
  <c r="Z14" i="18"/>
  <c r="T22" i="18"/>
  <c r="Z38" i="18"/>
  <c r="AL38" i="18"/>
  <c r="AF22" i="18"/>
  <c r="M27" i="1"/>
  <c r="T6" i="18"/>
  <c r="T30" i="18"/>
  <c r="N14" i="18"/>
  <c r="AL14" i="18"/>
  <c r="N6" i="18"/>
  <c r="N38" i="18"/>
  <c r="AF14" i="18"/>
  <c r="Z30" i="18"/>
  <c r="N30" i="18"/>
  <c r="Z6" i="18"/>
  <c r="AF6" i="18"/>
  <c r="AF30" i="18"/>
  <c r="N22" i="18"/>
  <c r="AL30" i="18"/>
  <c r="AL6" i="18"/>
  <c r="AB40" i="18"/>
  <c r="M30" i="1"/>
  <c r="P24" i="18"/>
  <c r="V32" i="18"/>
  <c r="AH24" i="18"/>
  <c r="AB32" i="18"/>
  <c r="P8" i="18"/>
  <c r="J16" i="18"/>
  <c r="AH16" i="18"/>
  <c r="AB8" i="18"/>
  <c r="AH32" i="18"/>
  <c r="V40" i="18"/>
  <c r="AH8" i="18"/>
  <c r="N30" i="1"/>
  <c r="AB24" i="18"/>
  <c r="P32" i="18"/>
  <c r="P16" i="18"/>
  <c r="AB16" i="18"/>
  <c r="AH40" i="18"/>
  <c r="J24" i="18"/>
  <c r="J40" i="18"/>
  <c r="V16" i="18"/>
  <c r="P40" i="18"/>
  <c r="J8" i="18"/>
  <c r="V24" i="18"/>
  <c r="V8" i="18"/>
  <c r="J32" i="18"/>
  <c r="AD26" i="18"/>
  <c r="X18" i="18"/>
  <c r="AJ10" i="18"/>
  <c r="M50" i="1"/>
  <c r="R34" i="18"/>
  <c r="R42" i="18"/>
  <c r="X42" i="18"/>
  <c r="L10" i="18"/>
  <c r="X34" i="18"/>
  <c r="AD42" i="18"/>
  <c r="L18" i="18"/>
  <c r="L34" i="18"/>
  <c r="X26" i="18"/>
  <c r="AD34" i="18"/>
  <c r="L42" i="18"/>
  <c r="X10" i="18"/>
  <c r="AJ34" i="18"/>
  <c r="AJ26" i="18"/>
  <c r="AJ42" i="18"/>
  <c r="AJ18" i="18"/>
  <c r="R26" i="18"/>
  <c r="R10" i="18"/>
  <c r="AD10" i="18"/>
  <c r="L26" i="18"/>
  <c r="R18" i="18"/>
  <c r="AD18" i="18"/>
  <c r="N50" i="1"/>
  <c r="AB22" i="19"/>
  <c r="J12" i="19"/>
  <c r="P52" i="19"/>
  <c r="J42" i="19"/>
  <c r="AH52" i="19"/>
  <c r="AD14" i="18"/>
  <c r="L14" i="18"/>
  <c r="AD30" i="18"/>
  <c r="R38" i="18"/>
  <c r="AD22" i="18"/>
  <c r="X22" i="18"/>
  <c r="AJ30" i="18"/>
  <c r="J45" i="19"/>
  <c r="AC62" i="1"/>
  <c r="AH15" i="19"/>
  <c r="J35" i="19"/>
  <c r="AB15" i="19"/>
  <c r="J15" i="19"/>
  <c r="AL42" i="18"/>
  <c r="M56" i="1"/>
  <c r="N10" i="18"/>
  <c r="AF10" i="18"/>
  <c r="AF26" i="18"/>
  <c r="N42" i="18"/>
  <c r="Z42" i="18"/>
  <c r="AD32" i="18"/>
  <c r="X32" i="18"/>
  <c r="L40" i="18"/>
  <c r="X24" i="18"/>
  <c r="X40" i="18"/>
  <c r="R8" i="18"/>
  <c r="R24" i="18"/>
  <c r="L38" i="18"/>
  <c r="X30" i="18"/>
  <c r="AD6" i="18"/>
  <c r="L30" i="18"/>
  <c r="N26" i="1"/>
  <c r="R30" i="18"/>
  <c r="X6" i="18"/>
  <c r="AM35" i="19"/>
  <c r="U15" i="19"/>
  <c r="O25" i="19"/>
  <c r="O45" i="19"/>
  <c r="AA15" i="19"/>
  <c r="U45" i="19"/>
  <c r="P35" i="19"/>
  <c r="AH35" i="19"/>
  <c r="J55" i="19"/>
  <c r="J25" i="19"/>
  <c r="P45" i="19"/>
  <c r="AH25" i="19"/>
  <c r="T42" i="18"/>
  <c r="T10" i="18"/>
  <c r="Z26" i="18"/>
  <c r="N26" i="18"/>
  <c r="N18" i="18"/>
  <c r="AL10" i="18"/>
  <c r="R16" i="18"/>
  <c r="L24" i="18"/>
  <c r="M36" i="1"/>
  <c r="L32" i="18"/>
  <c r="AJ32" i="18"/>
  <c r="R6" i="18"/>
  <c r="L22" i="18"/>
  <c r="AJ38" i="18"/>
  <c r="AJ14" i="18"/>
  <c r="M26" i="1"/>
  <c r="AB26" i="1" s="1"/>
  <c r="AA26" i="1" s="1"/>
  <c r="X38" i="18"/>
  <c r="AH48" i="19"/>
  <c r="AB48" i="19"/>
  <c r="V23" i="19"/>
  <c r="AH31" i="19"/>
  <c r="AB51" i="19"/>
  <c r="P31" i="19"/>
  <c r="AC25" i="19"/>
  <c r="Q35" i="19"/>
  <c r="AC35" i="19"/>
  <c r="AC63" i="1"/>
  <c r="W25" i="19"/>
  <c r="K25" i="19"/>
  <c r="AI15" i="19"/>
  <c r="P38" i="19"/>
  <c r="AH38" i="19"/>
  <c r="P48" i="19"/>
  <c r="J8" i="19"/>
  <c r="J18" i="19"/>
  <c r="P18" i="19"/>
  <c r="J48" i="19"/>
  <c r="V28" i="19"/>
  <c r="AB8" i="19"/>
  <c r="N24" i="1"/>
  <c r="J43" i="19"/>
  <c r="AC50" i="1"/>
  <c r="V43" i="19"/>
  <c r="J38" i="19"/>
  <c r="V8" i="19"/>
  <c r="AH11" i="19"/>
  <c r="AH21" i="19"/>
  <c r="J11" i="19"/>
  <c r="J31" i="19"/>
  <c r="P41" i="19"/>
  <c r="P21" i="19"/>
  <c r="AB11" i="19"/>
  <c r="V51" i="19"/>
  <c r="J41" i="19"/>
  <c r="AB21" i="19"/>
  <c r="AC42" i="1"/>
  <c r="AB31" i="19"/>
  <c r="V31" i="19"/>
  <c r="V21" i="19"/>
  <c r="AH51" i="19"/>
  <c r="Y24" i="1"/>
  <c r="P46" i="19" s="1"/>
  <c r="Z58" i="1"/>
  <c r="Y43" i="1"/>
  <c r="I24" i="1"/>
  <c r="X24" i="1" s="1"/>
  <c r="Z24" i="1" s="1"/>
  <c r="Z63" i="1"/>
  <c r="AF6" i="19"/>
  <c r="AL36" i="19"/>
  <c r="Z46" i="19"/>
  <c r="AF36" i="19"/>
  <c r="Z36" i="19"/>
  <c r="AF16" i="19"/>
  <c r="AL16" i="19"/>
  <c r="N46" i="19"/>
  <c r="AF26" i="19"/>
  <c r="AF46" i="19"/>
  <c r="N26" i="19"/>
  <c r="N36" i="19"/>
  <c r="N6" i="19"/>
  <c r="T16" i="19"/>
  <c r="Z26" i="19"/>
  <c r="Z6" i="19"/>
  <c r="T46" i="19"/>
  <c r="Z16" i="19"/>
  <c r="AL46" i="19"/>
  <c r="N16" i="19"/>
  <c r="X16" i="19"/>
  <c r="R36" i="19"/>
  <c r="AD36" i="19"/>
  <c r="AD16" i="19"/>
  <c r="L26" i="19"/>
  <c r="AJ46" i="19"/>
  <c r="AJ26" i="19"/>
  <c r="X36" i="19"/>
  <c r="R46" i="19"/>
  <c r="R26" i="19"/>
  <c r="R16" i="19"/>
  <c r="AD46" i="19"/>
  <c r="L46" i="19"/>
  <c r="R6" i="19"/>
  <c r="AD26" i="19"/>
  <c r="X46" i="19"/>
  <c r="AD6" i="19"/>
  <c r="AJ16" i="19"/>
  <c r="L36" i="19"/>
  <c r="X6" i="19"/>
  <c r="AJ6" i="19"/>
  <c r="L16" i="19"/>
  <c r="X26" i="19"/>
  <c r="L6" i="19"/>
  <c r="AJ36" i="19"/>
  <c r="T26" i="19"/>
  <c r="T36" i="19"/>
  <c r="AL6" i="19"/>
  <c r="AL26" i="19"/>
  <c r="AG45" i="19" l="1"/>
  <c r="U25" i="19"/>
  <c r="AG55" i="19"/>
  <c r="AA25" i="19"/>
  <c r="O35" i="19"/>
  <c r="AM55" i="19"/>
  <c r="AH22" i="19"/>
  <c r="AB42" i="19"/>
  <c r="V12" i="19"/>
  <c r="V32" i="19"/>
  <c r="AB12" i="19"/>
  <c r="AG25" i="19"/>
  <c r="AM45" i="19"/>
  <c r="O15" i="19"/>
  <c r="O55" i="19"/>
  <c r="U35" i="19"/>
  <c r="P32" i="19"/>
  <c r="AH32" i="19"/>
  <c r="J52" i="19"/>
  <c r="V42" i="19"/>
  <c r="AH12" i="19"/>
  <c r="AG15" i="19"/>
  <c r="AM25" i="19"/>
  <c r="AG35" i="19"/>
  <c r="AA45" i="19"/>
  <c r="AA55" i="19"/>
  <c r="V52" i="19"/>
  <c r="AB52" i="19"/>
  <c r="J32" i="19"/>
  <c r="V22" i="19"/>
  <c r="P12" i="19"/>
  <c r="AB53" i="19"/>
  <c r="J53" i="19"/>
  <c r="AB23" i="19"/>
  <c r="P43" i="19"/>
  <c r="J33" i="19"/>
  <c r="P42" i="19"/>
  <c r="AH42" i="19"/>
  <c r="J22" i="19"/>
  <c r="P22" i="19"/>
  <c r="AC48" i="1"/>
  <c r="AI35" i="19"/>
  <c r="W15" i="19"/>
  <c r="AI45" i="19"/>
  <c r="K45" i="19"/>
  <c r="P53" i="19"/>
  <c r="P23" i="19"/>
  <c r="V33" i="19"/>
  <c r="P33" i="19"/>
  <c r="V13" i="19"/>
  <c r="Y26" i="1"/>
  <c r="AH53" i="19"/>
  <c r="V53" i="19"/>
  <c r="J23" i="19"/>
  <c r="AH13" i="19"/>
  <c r="AH18" i="19"/>
  <c r="P28" i="19"/>
  <c r="J28" i="19"/>
  <c r="AB18" i="19"/>
  <c r="AC27" i="1"/>
  <c r="V18" i="19"/>
  <c r="AB7" i="19"/>
  <c r="AH27" i="19"/>
  <c r="AC26" i="1"/>
  <c r="P27" i="19"/>
  <c r="P17" i="19"/>
  <c r="P7" i="19"/>
  <c r="P47" i="19"/>
  <c r="J27" i="19"/>
  <c r="J7" i="19"/>
  <c r="AB27" i="19"/>
  <c r="AB37" i="19"/>
  <c r="V37" i="19"/>
  <c r="V7" i="19"/>
  <c r="V27" i="19"/>
  <c r="J6" i="19"/>
  <c r="P6" i="19"/>
  <c r="J36" i="19"/>
  <c r="J26" i="19"/>
  <c r="P36" i="19"/>
  <c r="AC24" i="1"/>
  <c r="V26" i="19"/>
  <c r="AC6" i="19"/>
  <c r="AH6" i="19"/>
  <c r="AH16" i="19"/>
  <c r="AH36" i="19"/>
  <c r="AB26" i="19"/>
  <c r="Y33" i="1"/>
  <c r="Z33" i="1"/>
  <c r="Z65" i="1"/>
  <c r="Y65" i="1"/>
  <c r="Z40" i="1"/>
  <c r="Y40" i="1"/>
  <c r="Z61" i="1"/>
  <c r="Y61" i="1"/>
  <c r="Z35" i="1"/>
  <c r="Y35" i="1"/>
  <c r="Z31" i="1"/>
  <c r="Y31" i="1"/>
  <c r="P26" i="19"/>
  <c r="J46" i="19"/>
  <c r="AB16" i="19"/>
  <c r="AB36" i="19"/>
  <c r="AH46" i="19"/>
  <c r="V6" i="19"/>
  <c r="AB14" i="19"/>
  <c r="AC56" i="1"/>
  <c r="V54" i="19"/>
  <c r="AB44" i="19"/>
  <c r="AB24" i="19"/>
  <c r="P24" i="19"/>
  <c r="AH34" i="19"/>
  <c r="V14" i="19"/>
  <c r="J14" i="19"/>
  <c r="AB34" i="19"/>
  <c r="V44" i="19"/>
  <c r="J44" i="19"/>
  <c r="AB54" i="19"/>
  <c r="AH54" i="19"/>
  <c r="V34" i="19"/>
  <c r="J34" i="19"/>
  <c r="P54" i="19"/>
  <c r="AH24" i="19"/>
  <c r="J24" i="19"/>
  <c r="AH14" i="19"/>
  <c r="P14" i="19"/>
  <c r="P44" i="19"/>
  <c r="J54" i="19"/>
  <c r="V24" i="19"/>
  <c r="AH44" i="19"/>
  <c r="P34" i="19"/>
  <c r="AB33" i="19"/>
  <c r="J13" i="19"/>
  <c r="AB43" i="19"/>
  <c r="AH33" i="19"/>
  <c r="P13" i="19"/>
  <c r="AH43" i="19"/>
  <c r="AB13" i="19"/>
  <c r="Y64" i="1"/>
  <c r="Z64" i="1"/>
  <c r="Y52" i="1"/>
  <c r="Z52" i="1"/>
  <c r="Y37" i="1"/>
  <c r="Z37" i="1"/>
  <c r="Z29" i="1"/>
  <c r="Y29" i="1"/>
  <c r="AD44" i="19"/>
  <c r="AD34" i="19"/>
  <c r="X24" i="19"/>
  <c r="AC58" i="1"/>
  <c r="L44" i="19"/>
  <c r="AJ44" i="19"/>
  <c r="L54" i="19"/>
  <c r="R14" i="19"/>
  <c r="L34" i="19"/>
  <c r="X44" i="19"/>
  <c r="L14" i="19"/>
  <c r="AD54" i="19"/>
  <c r="AJ54" i="19"/>
  <c r="AD24" i="19"/>
  <c r="R24" i="19"/>
  <c r="X14" i="19"/>
  <c r="R54" i="19"/>
  <c r="X34" i="19"/>
  <c r="R34" i="19"/>
  <c r="AJ14" i="19"/>
  <c r="AJ34" i="19"/>
  <c r="AD14" i="19"/>
  <c r="L24" i="19"/>
  <c r="AJ24" i="19"/>
  <c r="R44" i="19"/>
  <c r="X54" i="19"/>
  <c r="Z45" i="1"/>
  <c r="Y45" i="1"/>
  <c r="AF53" i="19"/>
  <c r="T23" i="19"/>
  <c r="AF23" i="19"/>
  <c r="AF13" i="19"/>
  <c r="AL53" i="19"/>
  <c r="N33" i="19"/>
  <c r="T13" i="19"/>
  <c r="T43" i="19"/>
  <c r="Z13" i="19"/>
  <c r="AL43" i="19"/>
  <c r="N23" i="19"/>
  <c r="N43" i="19"/>
  <c r="Z23" i="19"/>
  <c r="N53" i="19"/>
  <c r="AL33" i="19"/>
  <c r="AF43" i="19"/>
  <c r="AL23" i="19"/>
  <c r="AF33" i="19"/>
  <c r="Z33" i="19"/>
  <c r="Z53" i="19"/>
  <c r="AL13" i="19"/>
  <c r="T33" i="19"/>
  <c r="T53" i="19"/>
  <c r="Z43" i="19"/>
  <c r="N13" i="19"/>
  <c r="AC54" i="1"/>
  <c r="Y59" i="1"/>
  <c r="Z59" i="1"/>
  <c r="Z57" i="1"/>
  <c r="Y57" i="1"/>
  <c r="K36" i="19"/>
  <c r="AH26" i="19"/>
  <c r="AB6" i="19"/>
  <c r="AB46" i="19"/>
  <c r="V36" i="19"/>
  <c r="P16" i="19"/>
  <c r="V38" i="19"/>
  <c r="P8" i="19"/>
  <c r="AH28" i="19"/>
  <c r="AB28" i="19"/>
  <c r="AB38" i="19"/>
  <c r="V48" i="19"/>
  <c r="W45" i="19"/>
  <c r="Q15" i="19"/>
  <c r="AE13" i="19"/>
  <c r="AK33" i="19"/>
  <c r="Y43" i="19"/>
  <c r="M13" i="19"/>
  <c r="AE33" i="19"/>
  <c r="AK53" i="19"/>
  <c r="M33" i="19"/>
  <c r="S23" i="19"/>
  <c r="S43" i="19"/>
  <c r="AE53" i="19"/>
  <c r="M53" i="19"/>
  <c r="S53" i="19"/>
  <c r="Y13" i="19"/>
  <c r="M23" i="19"/>
  <c r="AK43" i="19"/>
  <c r="S13" i="19"/>
  <c r="AC53" i="1"/>
  <c r="AE23" i="19"/>
  <c r="M43" i="19"/>
  <c r="AK23" i="19"/>
  <c r="S33" i="19"/>
  <c r="AK13" i="19"/>
  <c r="AE43" i="19"/>
  <c r="Y33" i="19"/>
  <c r="Y53" i="19"/>
  <c r="Y23" i="19"/>
  <c r="AC67" i="1"/>
  <c r="AM15" i="19"/>
  <c r="U55" i="19"/>
  <c r="Y47" i="1"/>
  <c r="Z47" i="1"/>
  <c r="Y44" i="1"/>
  <c r="Z44" i="1"/>
  <c r="Y39" i="1"/>
  <c r="Z39" i="1"/>
  <c r="Y36" i="1"/>
  <c r="Z36" i="1"/>
  <c r="Z28" i="1"/>
  <c r="Y28" i="1"/>
  <c r="Z34" i="1"/>
  <c r="Y34" i="1"/>
  <c r="Z32" i="1"/>
  <c r="Y32" i="1"/>
  <c r="Z66" i="1"/>
  <c r="Y66" i="1"/>
  <c r="Q55" i="19"/>
  <c r="W55" i="19"/>
  <c r="K35" i="19"/>
  <c r="Q45" i="19"/>
  <c r="Y46" i="1"/>
  <c r="Z46" i="1"/>
  <c r="Z41" i="1"/>
  <c r="Y41" i="1"/>
  <c r="Z38" i="1"/>
  <c r="Y38" i="1"/>
  <c r="R40" i="19" s="1"/>
  <c r="Z60" i="1"/>
  <c r="Y60" i="1"/>
  <c r="Y30" i="1"/>
  <c r="Z30" i="1"/>
  <c r="AD47" i="19"/>
  <c r="AJ37" i="19"/>
  <c r="R17" i="19"/>
  <c r="L7" i="19"/>
  <c r="R7" i="19"/>
  <c r="R37" i="19"/>
  <c r="R47" i="19"/>
  <c r="AJ27" i="19"/>
  <c r="L27" i="19"/>
  <c r="AJ17" i="19"/>
  <c r="L17" i="19"/>
  <c r="X17" i="19"/>
  <c r="AD7" i="19"/>
  <c r="AD37" i="19"/>
  <c r="AD27" i="19"/>
  <c r="AD17" i="19"/>
  <c r="X7" i="19"/>
  <c r="R27" i="19"/>
  <c r="AJ47" i="19"/>
  <c r="X37" i="19"/>
  <c r="AJ7" i="19"/>
  <c r="L37" i="19"/>
  <c r="X47" i="19"/>
  <c r="X27" i="19"/>
  <c r="L47" i="19"/>
  <c r="J16" i="19"/>
  <c r="V16" i="19"/>
  <c r="Q51" i="19"/>
  <c r="W41" i="19"/>
  <c r="AC21" i="19"/>
  <c r="Q31" i="19"/>
  <c r="AI31" i="19"/>
  <c r="AC51" i="19"/>
  <c r="W21" i="19"/>
  <c r="K41" i="19"/>
  <c r="K31" i="19"/>
  <c r="AI21" i="19"/>
  <c r="Q41" i="19"/>
  <c r="W31" i="19"/>
  <c r="AI41" i="19"/>
  <c r="AC11" i="19"/>
  <c r="AI11" i="19"/>
  <c r="W51" i="19"/>
  <c r="K51" i="19"/>
  <c r="K11" i="19"/>
  <c r="Q11" i="19"/>
  <c r="W11" i="19"/>
  <c r="AI51" i="19"/>
  <c r="AC41" i="19"/>
  <c r="Q21" i="19"/>
  <c r="K21" i="19"/>
  <c r="AC31" i="19"/>
  <c r="AC43" i="1"/>
  <c r="V46" i="19"/>
  <c r="AB17" i="19" l="1"/>
  <c r="J17" i="19"/>
  <c r="AH47" i="19"/>
  <c r="AH37" i="19"/>
  <c r="P37" i="19"/>
  <c r="V17" i="19"/>
  <c r="AH17" i="19"/>
  <c r="AB47" i="19"/>
  <c r="V47" i="19"/>
  <c r="J37" i="19"/>
  <c r="AH7" i="19"/>
  <c r="J47" i="19"/>
  <c r="AC46" i="19"/>
  <c r="AI36" i="19"/>
  <c r="AC16" i="19"/>
  <c r="W36" i="19"/>
  <c r="Q46" i="19"/>
  <c r="K16" i="19"/>
  <c r="AI6" i="19"/>
  <c r="Q6" i="19"/>
  <c r="K26" i="19"/>
  <c r="Q16" i="19"/>
  <c r="AI46" i="19"/>
  <c r="W46" i="19"/>
  <c r="W26" i="19"/>
  <c r="AI26" i="19"/>
  <c r="K6" i="19"/>
  <c r="AC26" i="19"/>
  <c r="AI16" i="19"/>
  <c r="W6" i="19"/>
  <c r="W16" i="19"/>
  <c r="AC36" i="19"/>
  <c r="K46" i="19"/>
  <c r="Q26" i="19"/>
  <c r="Q36" i="19"/>
  <c r="W37" i="19"/>
  <c r="AI47" i="19"/>
  <c r="K37" i="19"/>
  <c r="K7" i="19"/>
  <c r="W17" i="19"/>
  <c r="AC27" i="19"/>
  <c r="W47" i="19"/>
  <c r="Q47" i="19"/>
  <c r="AI27" i="19"/>
  <c r="AI17" i="19"/>
  <c r="K27" i="19"/>
  <c r="AC37" i="19"/>
  <c r="AI37" i="19"/>
  <c r="W27" i="19"/>
  <c r="Q37" i="19"/>
  <c r="AI7" i="19"/>
  <c r="AC7" i="19"/>
  <c r="K47" i="19"/>
  <c r="K17" i="19"/>
  <c r="W7" i="19"/>
  <c r="Q7" i="19"/>
  <c r="AC47" i="19"/>
  <c r="Q27" i="19"/>
  <c r="Q17" i="19"/>
  <c r="AC17" i="19"/>
  <c r="N21" i="19"/>
  <c r="AF41" i="19"/>
  <c r="AL41" i="19"/>
  <c r="T31" i="19"/>
  <c r="AL21" i="19"/>
  <c r="T11" i="19"/>
  <c r="AF11" i="19"/>
  <c r="T51" i="19"/>
  <c r="N11" i="19"/>
  <c r="AL11" i="19"/>
  <c r="Z11" i="19"/>
  <c r="Z21" i="19"/>
  <c r="Z51" i="19"/>
  <c r="N51" i="19"/>
  <c r="Z31" i="19"/>
  <c r="AF31" i="19"/>
  <c r="AL51" i="19"/>
  <c r="AL31" i="19"/>
  <c r="AC46" i="1"/>
  <c r="T21" i="19"/>
  <c r="Z41" i="19"/>
  <c r="N41" i="19"/>
  <c r="AF21" i="19"/>
  <c r="N31" i="19"/>
  <c r="AF51" i="19"/>
  <c r="T41" i="19"/>
  <c r="S27" i="19"/>
  <c r="S7" i="19"/>
  <c r="Y7" i="19"/>
  <c r="M47" i="19"/>
  <c r="AE7" i="19"/>
  <c r="M37" i="19"/>
  <c r="AK37" i="19"/>
  <c r="Y47" i="19"/>
  <c r="Y37" i="19"/>
  <c r="AE47" i="19"/>
  <c r="M7" i="19"/>
  <c r="AK17" i="19"/>
  <c r="M17" i="19"/>
  <c r="AE37" i="19"/>
  <c r="Y17" i="19"/>
  <c r="S17" i="19"/>
  <c r="S37" i="19"/>
  <c r="AE17" i="19"/>
  <c r="Y27" i="19"/>
  <c r="M27" i="19"/>
  <c r="AK7" i="19"/>
  <c r="AE27" i="19"/>
  <c r="AK47" i="19"/>
  <c r="AK27" i="19"/>
  <c r="S47" i="19"/>
  <c r="AB50" i="19"/>
  <c r="P40" i="19"/>
  <c r="V50" i="19"/>
  <c r="AC36" i="1"/>
  <c r="AH40" i="19"/>
  <c r="AB20" i="19"/>
  <c r="P30" i="19"/>
  <c r="J40" i="19"/>
  <c r="J10" i="19"/>
  <c r="P20" i="19"/>
  <c r="AB40" i="19"/>
  <c r="AH30" i="19"/>
  <c r="V20" i="19"/>
  <c r="V10" i="19"/>
  <c r="AH10" i="19"/>
  <c r="P50" i="19"/>
  <c r="AB10" i="19"/>
  <c r="AH20" i="19"/>
  <c r="AH50" i="19"/>
  <c r="J50" i="19"/>
  <c r="V40" i="19"/>
  <c r="J30" i="19"/>
  <c r="AB30" i="19"/>
  <c r="P10" i="19"/>
  <c r="J20" i="19"/>
  <c r="L41" i="19"/>
  <c r="AJ41" i="19"/>
  <c r="R41" i="19"/>
  <c r="AD31" i="19"/>
  <c r="L21" i="19"/>
  <c r="R51" i="19"/>
  <c r="L51" i="19"/>
  <c r="AD41" i="19"/>
  <c r="X11" i="19"/>
  <c r="X51" i="19"/>
  <c r="R11" i="19"/>
  <c r="AJ31" i="19"/>
  <c r="AJ51" i="19"/>
  <c r="X31" i="19"/>
  <c r="R21" i="19"/>
  <c r="X41" i="19"/>
  <c r="AJ11" i="19"/>
  <c r="R31" i="19"/>
  <c r="L31" i="19"/>
  <c r="AC44" i="1"/>
  <c r="AJ21" i="19"/>
  <c r="L11" i="19"/>
  <c r="X21" i="19"/>
  <c r="AD51" i="19"/>
  <c r="AD21" i="19"/>
  <c r="AD11" i="19"/>
  <c r="AG47" i="19"/>
  <c r="O37" i="19"/>
  <c r="O27" i="19"/>
  <c r="AG27" i="19"/>
  <c r="AA17" i="19"/>
  <c r="AM27" i="19"/>
  <c r="O47" i="19"/>
  <c r="U7" i="19"/>
  <c r="O17" i="19"/>
  <c r="U37" i="19"/>
  <c r="AM7" i="19"/>
  <c r="O7" i="19"/>
  <c r="U17" i="19"/>
  <c r="AG37" i="19"/>
  <c r="U27" i="19"/>
  <c r="AA47" i="19"/>
  <c r="AM37" i="19"/>
  <c r="AA27" i="19"/>
  <c r="AG17" i="19"/>
  <c r="AM47" i="19"/>
  <c r="AA7" i="19"/>
  <c r="AM17" i="19"/>
  <c r="AG7" i="19"/>
  <c r="AA37" i="19"/>
  <c r="U47" i="19"/>
  <c r="Y54" i="19"/>
  <c r="AK54" i="19"/>
  <c r="AK14" i="19"/>
  <c r="AK44" i="19"/>
  <c r="AK24" i="19"/>
  <c r="AC59" i="1"/>
  <c r="AE14" i="19"/>
  <c r="AK34" i="19"/>
  <c r="M34" i="19"/>
  <c r="M14" i="19"/>
  <c r="S14" i="19"/>
  <c r="AE54" i="19"/>
  <c r="Y34" i="19"/>
  <c r="Y14" i="19"/>
  <c r="M54" i="19"/>
  <c r="AE44" i="19"/>
  <c r="S24" i="19"/>
  <c r="M44" i="19"/>
  <c r="Y24" i="19"/>
  <c r="Y44" i="19"/>
  <c r="S34" i="19"/>
  <c r="M24" i="19"/>
  <c r="S44" i="19"/>
  <c r="S54" i="19"/>
  <c r="AE34" i="19"/>
  <c r="AE24" i="19"/>
  <c r="AJ43" i="19"/>
  <c r="AD43" i="19"/>
  <c r="R33" i="19"/>
  <c r="R23" i="19"/>
  <c r="L23" i="19"/>
  <c r="L53" i="19"/>
  <c r="AJ23" i="19"/>
  <c r="AD33" i="19"/>
  <c r="AC52" i="1"/>
  <c r="AJ13" i="19"/>
  <c r="X43" i="19"/>
  <c r="AD23" i="19"/>
  <c r="X13" i="19"/>
  <c r="R43" i="19"/>
  <c r="AJ53" i="19"/>
  <c r="AD13" i="19"/>
  <c r="R53" i="19"/>
  <c r="X23" i="19"/>
  <c r="X53" i="19"/>
  <c r="AD53" i="19"/>
  <c r="L13" i="19"/>
  <c r="X33" i="19"/>
  <c r="R13" i="19"/>
  <c r="AJ33" i="19"/>
  <c r="L43" i="19"/>
  <c r="L33" i="19"/>
  <c r="N48" i="19"/>
  <c r="AF8" i="19"/>
  <c r="AL28" i="19"/>
  <c r="AL18" i="19"/>
  <c r="AF48" i="19"/>
  <c r="Z28" i="19"/>
  <c r="N38" i="19"/>
  <c r="T8" i="19"/>
  <c r="T18" i="19"/>
  <c r="AF28" i="19"/>
  <c r="T38" i="19"/>
  <c r="T28" i="19"/>
  <c r="AL8" i="19"/>
  <c r="AF18" i="19"/>
  <c r="N28" i="19"/>
  <c r="T48" i="19"/>
  <c r="N18" i="19"/>
  <c r="AL48" i="19"/>
  <c r="AF38" i="19"/>
  <c r="Z18" i="19"/>
  <c r="Z38" i="19"/>
  <c r="Z48" i="19"/>
  <c r="N8" i="19"/>
  <c r="AL38" i="19"/>
  <c r="Z8" i="19"/>
  <c r="AM50" i="19"/>
  <c r="AM20" i="19"/>
  <c r="U40" i="19"/>
  <c r="AG40" i="19"/>
  <c r="AG10" i="19"/>
  <c r="U10" i="19"/>
  <c r="O20" i="19"/>
  <c r="AA50" i="19"/>
  <c r="O50" i="19"/>
  <c r="O40" i="19"/>
  <c r="AG50" i="19"/>
  <c r="AA40" i="19"/>
  <c r="AG30" i="19"/>
  <c r="O30" i="19"/>
  <c r="AM10" i="19"/>
  <c r="AA10" i="19"/>
  <c r="AC41" i="1"/>
  <c r="AA30" i="19"/>
  <c r="AA20" i="19"/>
  <c r="AM40" i="19"/>
  <c r="AM30" i="19"/>
  <c r="U30" i="19"/>
  <c r="U20" i="19"/>
  <c r="U50" i="19"/>
  <c r="AG20" i="19"/>
  <c r="O10" i="19"/>
  <c r="Z45" i="19"/>
  <c r="N45" i="19"/>
  <c r="AL15" i="19"/>
  <c r="AF25" i="19"/>
  <c r="T25" i="19"/>
  <c r="N15" i="19"/>
  <c r="AF35" i="19"/>
  <c r="AL55" i="19"/>
  <c r="T35" i="19"/>
  <c r="AL35" i="19"/>
  <c r="AL45" i="19"/>
  <c r="AF55" i="19"/>
  <c r="Z35" i="19"/>
  <c r="T45" i="19"/>
  <c r="Z25" i="19"/>
  <c r="AF45" i="19"/>
  <c r="N55" i="19"/>
  <c r="N25" i="19"/>
  <c r="AL25" i="19"/>
  <c r="T15" i="19"/>
  <c r="AF15" i="19"/>
  <c r="Z15" i="19"/>
  <c r="T55" i="19"/>
  <c r="AC66" i="1"/>
  <c r="Z55" i="19"/>
  <c r="N35" i="19"/>
  <c r="AL19" i="19"/>
  <c r="AF9" i="19"/>
  <c r="T39" i="19"/>
  <c r="T19" i="19"/>
  <c r="AL39" i="19"/>
  <c r="Z29" i="19"/>
  <c r="AF29" i="19"/>
  <c r="N49" i="19"/>
  <c r="N9" i="19"/>
  <c r="Z19" i="19"/>
  <c r="Z49" i="19"/>
  <c r="AC34" i="1"/>
  <c r="Z39" i="19"/>
  <c r="AL49" i="19"/>
  <c r="N29" i="19"/>
  <c r="AF39" i="19"/>
  <c r="T9" i="19"/>
  <c r="AL29" i="19"/>
  <c r="AF19" i="19"/>
  <c r="T49" i="19"/>
  <c r="AL9" i="19"/>
  <c r="Z9" i="19"/>
  <c r="N39" i="19"/>
  <c r="AF49" i="19"/>
  <c r="T29" i="19"/>
  <c r="N19" i="19"/>
  <c r="AI54" i="19"/>
  <c r="K54" i="19"/>
  <c r="AI44" i="19"/>
  <c r="AC54" i="19"/>
  <c r="W34" i="19"/>
  <c r="AC34" i="19"/>
  <c r="Q24" i="19"/>
  <c r="AI34" i="19"/>
  <c r="AI24" i="19"/>
  <c r="AC57" i="1"/>
  <c r="K14" i="19"/>
  <c r="AC14" i="19"/>
  <c r="W14" i="19"/>
  <c r="K44" i="19"/>
  <c r="Q14" i="19"/>
  <c r="AC24" i="19"/>
  <c r="Q34" i="19"/>
  <c r="AI14" i="19"/>
  <c r="W54" i="19"/>
  <c r="W24" i="19"/>
  <c r="K34" i="19"/>
  <c r="W44" i="19"/>
  <c r="Q44" i="19"/>
  <c r="AC44" i="19"/>
  <c r="K24" i="19"/>
  <c r="Q54" i="19"/>
  <c r="Y16" i="19"/>
  <c r="AE6" i="19"/>
  <c r="M16" i="19"/>
  <c r="AE46" i="19"/>
  <c r="AK36" i="19"/>
  <c r="AE16" i="19"/>
  <c r="AK6" i="19"/>
  <c r="M6" i="19"/>
  <c r="Y36" i="19"/>
  <c r="Y6" i="19"/>
  <c r="S36" i="19"/>
  <c r="Y26" i="19"/>
  <c r="S46" i="19"/>
  <c r="S16" i="19"/>
  <c r="AK16" i="19"/>
  <c r="S6" i="19"/>
  <c r="Y46" i="19"/>
  <c r="M36" i="19"/>
  <c r="S26" i="19"/>
  <c r="AE26" i="19"/>
  <c r="AK46" i="19"/>
  <c r="M46" i="19"/>
  <c r="M26" i="19"/>
  <c r="AE36" i="19"/>
  <c r="AK26" i="19"/>
  <c r="Q10" i="19"/>
  <c r="Q50" i="19"/>
  <c r="Q40" i="19"/>
  <c r="K50" i="19"/>
  <c r="AC10" i="19"/>
  <c r="AC30" i="19"/>
  <c r="AC40" i="19"/>
  <c r="Q30" i="19"/>
  <c r="W20" i="19"/>
  <c r="K30" i="19"/>
  <c r="AI40" i="19"/>
  <c r="AI10" i="19"/>
  <c r="W30" i="19"/>
  <c r="AC50" i="19"/>
  <c r="K10" i="19"/>
  <c r="K20" i="19"/>
  <c r="W50" i="19"/>
  <c r="AI20" i="19"/>
  <c r="Q20" i="19"/>
  <c r="K40" i="19"/>
  <c r="W40" i="19"/>
  <c r="AC37" i="1"/>
  <c r="AC20" i="19"/>
  <c r="AI50" i="19"/>
  <c r="AI30" i="19"/>
  <c r="W10" i="19"/>
  <c r="AC39" i="19"/>
  <c r="AC19" i="19"/>
  <c r="AI9" i="19"/>
  <c r="W29" i="19"/>
  <c r="Q49" i="19"/>
  <c r="Q29" i="19"/>
  <c r="W9" i="19"/>
  <c r="Q39" i="19"/>
  <c r="AI39" i="19"/>
  <c r="AC29" i="19"/>
  <c r="Q9" i="19"/>
  <c r="W49" i="19"/>
  <c r="K9" i="19"/>
  <c r="AI19" i="19"/>
  <c r="AI29" i="19"/>
  <c r="AC9" i="19"/>
  <c r="W19" i="19"/>
  <c r="K19" i="19"/>
  <c r="K39" i="19"/>
  <c r="W39" i="19"/>
  <c r="K29" i="19"/>
  <c r="K49" i="19"/>
  <c r="AC49" i="19"/>
  <c r="Q19" i="19"/>
  <c r="AI49" i="19"/>
  <c r="AC31" i="1"/>
  <c r="O24" i="19"/>
  <c r="AA44" i="19"/>
  <c r="AM44" i="19"/>
  <c r="AG14" i="19"/>
  <c r="AA24" i="19"/>
  <c r="AC61" i="1"/>
  <c r="O44" i="19"/>
  <c r="O14" i="19"/>
  <c r="AM24" i="19"/>
  <c r="AG44" i="19"/>
  <c r="AA14" i="19"/>
  <c r="AM14" i="19"/>
  <c r="AA54" i="19"/>
  <c r="AM54" i="19"/>
  <c r="AG54" i="19"/>
  <c r="O54" i="19"/>
  <c r="AG34" i="19"/>
  <c r="U14" i="19"/>
  <c r="AM34" i="19"/>
  <c r="U34" i="19"/>
  <c r="U44" i="19"/>
  <c r="AG24" i="19"/>
  <c r="U24" i="19"/>
  <c r="O34" i="19"/>
  <c r="U54" i="19"/>
  <c r="AA34" i="19"/>
  <c r="M55" i="19"/>
  <c r="Y35" i="19"/>
  <c r="S35" i="19"/>
  <c r="AK45" i="19"/>
  <c r="S25" i="19"/>
  <c r="Y45" i="19"/>
  <c r="S15" i="19"/>
  <c r="M25" i="19"/>
  <c r="AE45" i="19"/>
  <c r="M45" i="19"/>
  <c r="AE35" i="19"/>
  <c r="AE25" i="19"/>
  <c r="S45" i="19"/>
  <c r="AE55" i="19"/>
  <c r="Y25" i="19"/>
  <c r="Y55" i="19"/>
  <c r="AK15" i="19"/>
  <c r="Y15" i="19"/>
  <c r="AK25" i="19"/>
  <c r="AC65" i="1"/>
  <c r="M35" i="19"/>
  <c r="AK55" i="19"/>
  <c r="S55" i="19"/>
  <c r="AK35" i="19"/>
  <c r="M15" i="19"/>
  <c r="AE15" i="19"/>
  <c r="J39" i="19"/>
  <c r="J49" i="19"/>
  <c r="P9" i="19"/>
  <c r="V19" i="19"/>
  <c r="AH9" i="19"/>
  <c r="P29" i="19"/>
  <c r="J9" i="19"/>
  <c r="V39" i="19"/>
  <c r="AB49" i="19"/>
  <c r="P39" i="19"/>
  <c r="AH39" i="19"/>
  <c r="V49" i="19"/>
  <c r="AB39" i="19"/>
  <c r="P19" i="19"/>
  <c r="V9" i="19"/>
  <c r="AB19" i="19"/>
  <c r="AB29" i="19"/>
  <c r="AH29" i="19"/>
  <c r="J19" i="19"/>
  <c r="AB9" i="19"/>
  <c r="AH19" i="19"/>
  <c r="V29" i="19"/>
  <c r="J29" i="19"/>
  <c r="AC30" i="1"/>
  <c r="P49" i="19"/>
  <c r="AG36" i="19"/>
  <c r="AG6" i="19"/>
  <c r="AA36" i="19"/>
  <c r="U46" i="19"/>
  <c r="AM36" i="19"/>
  <c r="U16" i="19"/>
  <c r="O36" i="19"/>
  <c r="AA16" i="19"/>
  <c r="O26" i="19"/>
  <c r="AM26" i="19"/>
  <c r="AG16" i="19"/>
  <c r="AA26" i="19"/>
  <c r="O6" i="19"/>
  <c r="AM46" i="19"/>
  <c r="U26" i="19"/>
  <c r="AM16" i="19"/>
  <c r="AG26" i="19"/>
  <c r="AA6" i="19"/>
  <c r="AG46" i="19"/>
  <c r="AM6" i="19"/>
  <c r="AA46" i="19"/>
  <c r="U36" i="19"/>
  <c r="O46" i="19"/>
  <c r="U6" i="19"/>
  <c r="O16" i="19"/>
  <c r="AE38" i="19"/>
  <c r="AK18" i="19"/>
  <c r="M8" i="19"/>
  <c r="M18" i="19"/>
  <c r="Y18" i="19"/>
  <c r="S18" i="19"/>
  <c r="M48" i="19"/>
  <c r="AE18" i="19"/>
  <c r="Y48" i="19"/>
  <c r="Y28" i="19"/>
  <c r="Y38" i="19"/>
  <c r="S48" i="19"/>
  <c r="AK48" i="19"/>
  <c r="Y8" i="19"/>
  <c r="S38" i="19"/>
  <c r="S8" i="19"/>
  <c r="AE8" i="19"/>
  <c r="AK28" i="19"/>
  <c r="M28" i="19"/>
  <c r="AE48" i="19"/>
  <c r="AK8" i="19"/>
  <c r="M38" i="19"/>
  <c r="AE28" i="19"/>
  <c r="S28" i="19"/>
  <c r="AK38" i="19"/>
  <c r="M20" i="19"/>
  <c r="M10" i="19"/>
  <c r="Y40" i="19"/>
  <c r="M30" i="19"/>
  <c r="S10" i="19"/>
  <c r="AE10" i="19"/>
  <c r="AC39" i="1"/>
  <c r="AK10" i="19"/>
  <c r="Y10" i="19"/>
  <c r="Y50" i="19"/>
  <c r="M50" i="19"/>
  <c r="Y20" i="19"/>
  <c r="AK30" i="19"/>
  <c r="AE50" i="19"/>
  <c r="S30" i="19"/>
  <c r="AK40" i="19"/>
  <c r="AE40" i="19"/>
  <c r="M40" i="19"/>
  <c r="S40" i="19"/>
  <c r="AE20" i="19"/>
  <c r="AK50" i="19"/>
  <c r="AE30" i="19"/>
  <c r="S50" i="19"/>
  <c r="Y30" i="19"/>
  <c r="S20" i="19"/>
  <c r="AK20" i="19"/>
  <c r="AA31" i="19"/>
  <c r="AA21" i="19"/>
  <c r="U21" i="19"/>
  <c r="AG21" i="19"/>
  <c r="U11" i="19"/>
  <c r="O51" i="19"/>
  <c r="AM41" i="19"/>
  <c r="AM11" i="19"/>
  <c r="AA11" i="19"/>
  <c r="O41" i="19"/>
  <c r="O21" i="19"/>
  <c r="AG11" i="19"/>
  <c r="AA41" i="19"/>
  <c r="U31" i="19"/>
  <c r="U41" i="19"/>
  <c r="AA51" i="19"/>
  <c r="AG31" i="19"/>
  <c r="AM51" i="19"/>
  <c r="O11" i="19"/>
  <c r="AC47" i="1"/>
  <c r="AG51" i="19"/>
  <c r="U51" i="19"/>
  <c r="AM21" i="19"/>
  <c r="AM31" i="19"/>
  <c r="AG41" i="19"/>
  <c r="O31" i="19"/>
  <c r="L8" i="19"/>
  <c r="R18" i="19"/>
  <c r="X18" i="19"/>
  <c r="X28" i="19"/>
  <c r="AD18" i="19"/>
  <c r="X8" i="19"/>
  <c r="AD8" i="19"/>
  <c r="X48" i="19"/>
  <c r="X38" i="19"/>
  <c r="AJ48" i="19"/>
  <c r="L28" i="19"/>
  <c r="AD38" i="19"/>
  <c r="AC29" i="1"/>
  <c r="L18" i="19"/>
  <c r="AJ38" i="19"/>
  <c r="R38" i="19"/>
  <c r="L38" i="19"/>
  <c r="AJ8" i="19"/>
  <c r="AJ28" i="19"/>
  <c r="L48" i="19"/>
  <c r="R48" i="19"/>
  <c r="R28" i="19"/>
  <c r="AJ18" i="19"/>
  <c r="R8" i="19"/>
  <c r="AD28" i="19"/>
  <c r="AD48" i="19"/>
  <c r="AJ55" i="19"/>
  <c r="L45" i="19"/>
  <c r="AD35" i="19"/>
  <c r="AD55" i="19"/>
  <c r="X15" i="19"/>
  <c r="L25" i="19"/>
  <c r="AJ45" i="19"/>
  <c r="AJ35" i="19"/>
  <c r="X35" i="19"/>
  <c r="X45" i="19"/>
  <c r="R35" i="19"/>
  <c r="X55" i="19"/>
  <c r="L35" i="19"/>
  <c r="AD15" i="19"/>
  <c r="L15" i="19"/>
  <c r="R45" i="19"/>
  <c r="R25" i="19"/>
  <c r="L55" i="19"/>
  <c r="R55" i="19"/>
  <c r="X25" i="19"/>
  <c r="AC64" i="1"/>
  <c r="AJ25" i="19"/>
  <c r="AJ15" i="19"/>
  <c r="AD45" i="19"/>
  <c r="AD25" i="19"/>
  <c r="S49" i="19"/>
  <c r="AE49" i="19"/>
  <c r="AK39" i="19"/>
  <c r="AE39" i="19"/>
  <c r="S29" i="19"/>
  <c r="AC33" i="1"/>
  <c r="M49" i="19"/>
  <c r="M29" i="19"/>
  <c r="S19" i="19"/>
  <c r="AK9" i="19"/>
  <c r="Y49" i="19"/>
  <c r="AE19" i="19"/>
  <c r="Y39" i="19"/>
  <c r="M19" i="19"/>
  <c r="Y19" i="19"/>
  <c r="M9" i="19"/>
  <c r="AK19" i="19"/>
  <c r="AK49" i="19"/>
  <c r="AE9" i="19"/>
  <c r="S9" i="19"/>
  <c r="Y29" i="19"/>
  <c r="AK29" i="19"/>
  <c r="M39" i="19"/>
  <c r="S39" i="19"/>
  <c r="AE29" i="19"/>
  <c r="Y9" i="19"/>
  <c r="AF34" i="19"/>
  <c r="N14" i="19"/>
  <c r="AL44" i="19"/>
  <c r="T14" i="19"/>
  <c r="AF24" i="19"/>
  <c r="T54" i="19"/>
  <c r="AF54" i="19"/>
  <c r="T44" i="19"/>
  <c r="N34" i="19"/>
  <c r="T34" i="19"/>
  <c r="AL54" i="19"/>
  <c r="AL34" i="19"/>
  <c r="T24" i="19"/>
  <c r="N54" i="19"/>
  <c r="AL24" i="19"/>
  <c r="AL14" i="19"/>
  <c r="N24" i="19"/>
  <c r="Z14" i="19"/>
  <c r="Z34" i="19"/>
  <c r="N44" i="19"/>
  <c r="Z24" i="19"/>
  <c r="Z54" i="19"/>
  <c r="AF44" i="19"/>
  <c r="Z44" i="19"/>
  <c r="AF14" i="19"/>
  <c r="AC60" i="1"/>
  <c r="AJ10" i="19"/>
  <c r="AJ40" i="19"/>
  <c r="L40" i="19"/>
  <c r="AD10" i="19"/>
  <c r="R20" i="19"/>
  <c r="R10" i="19"/>
  <c r="X10" i="19"/>
  <c r="AJ30" i="19"/>
  <c r="AC38" i="1"/>
  <c r="X30" i="19"/>
  <c r="L50" i="19"/>
  <c r="X20" i="19"/>
  <c r="L20" i="19"/>
  <c r="AJ20" i="19"/>
  <c r="AD30" i="19"/>
  <c r="AD40" i="19"/>
  <c r="R30" i="19"/>
  <c r="L30" i="19"/>
  <c r="L10" i="19"/>
  <c r="AD50" i="19"/>
  <c r="AD20" i="19"/>
  <c r="X40" i="19"/>
  <c r="X50" i="19"/>
  <c r="R50" i="19"/>
  <c r="AJ50" i="19"/>
  <c r="AD29" i="19"/>
  <c r="X49" i="19"/>
  <c r="L49" i="19"/>
  <c r="L9" i="19"/>
  <c r="L39" i="19"/>
  <c r="AJ19" i="19"/>
  <c r="L29" i="19"/>
  <c r="R39" i="19"/>
  <c r="AD39" i="19"/>
  <c r="X29" i="19"/>
  <c r="AD9" i="19"/>
  <c r="AJ39" i="19"/>
  <c r="AD49" i="19"/>
  <c r="R9" i="19"/>
  <c r="X39" i="19"/>
  <c r="AJ29" i="19"/>
  <c r="X9" i="19"/>
  <c r="AC32" i="1"/>
  <c r="AJ9" i="19"/>
  <c r="R29" i="19"/>
  <c r="AJ49" i="19"/>
  <c r="L19" i="19"/>
  <c r="R19" i="19"/>
  <c r="R49" i="19"/>
  <c r="X19" i="19"/>
  <c r="AD19" i="19"/>
  <c r="AC18" i="19"/>
  <c r="AC8" i="19"/>
  <c r="W18" i="19"/>
  <c r="AI8" i="19"/>
  <c r="Q48" i="19"/>
  <c r="AC38" i="19"/>
  <c r="Q28" i="19"/>
  <c r="W28" i="19"/>
  <c r="AI28" i="19"/>
  <c r="AC28" i="19"/>
  <c r="K48" i="19"/>
  <c r="AI38" i="19"/>
  <c r="W38" i="19"/>
  <c r="K8" i="19"/>
  <c r="Q8" i="19"/>
  <c r="Q38" i="19"/>
  <c r="Q18" i="19"/>
  <c r="K18" i="19"/>
  <c r="W8" i="19"/>
  <c r="W48" i="19"/>
  <c r="K28" i="19"/>
  <c r="AC28" i="1"/>
  <c r="AI48" i="19"/>
  <c r="K38" i="19"/>
  <c r="AI18" i="19"/>
  <c r="AC48" i="19"/>
  <c r="R15" i="19"/>
  <c r="AE11" i="19"/>
  <c r="AK41" i="19"/>
  <c r="Y51" i="19"/>
  <c r="AE41" i="19"/>
  <c r="AK51" i="19"/>
  <c r="S41" i="19"/>
  <c r="S21" i="19"/>
  <c r="M41" i="19"/>
  <c r="M31" i="19"/>
  <c r="AK31" i="19"/>
  <c r="S51" i="19"/>
  <c r="AE31" i="19"/>
  <c r="S11" i="19"/>
  <c r="M51" i="19"/>
  <c r="AE51" i="19"/>
  <c r="Y31" i="19"/>
  <c r="Y41" i="19"/>
  <c r="AK21" i="19"/>
  <c r="M21" i="19"/>
  <c r="M11" i="19"/>
  <c r="Y21" i="19"/>
  <c r="Y11" i="19"/>
  <c r="AC45" i="1"/>
  <c r="S31" i="19"/>
  <c r="AE21" i="19"/>
  <c r="AK11" i="19"/>
  <c r="AH49" i="19"/>
  <c r="O19" i="19"/>
  <c r="AC35" i="1"/>
  <c r="AA49" i="19"/>
  <c r="U49" i="19"/>
  <c r="AA29" i="19"/>
  <c r="AM49" i="19"/>
  <c r="O39" i="19"/>
  <c r="AM9" i="19"/>
  <c r="O49" i="19"/>
  <c r="AA9" i="19"/>
  <c r="AA39" i="19"/>
  <c r="AM19" i="19"/>
  <c r="O9" i="19"/>
  <c r="U39" i="19"/>
  <c r="AM39" i="19"/>
  <c r="AG19" i="19"/>
  <c r="U29" i="19"/>
  <c r="U19" i="19"/>
  <c r="AG9" i="19"/>
  <c r="AG29" i="19"/>
  <c r="AM29" i="19"/>
  <c r="O29" i="19"/>
  <c r="U9" i="19"/>
  <c r="AG39" i="19"/>
  <c r="AG49" i="19"/>
  <c r="AA19" i="19"/>
  <c r="AF10" i="19"/>
  <c r="AF50" i="19"/>
  <c r="AF40" i="19"/>
  <c r="AL20" i="19"/>
  <c r="Z50" i="19"/>
  <c r="Z30" i="19"/>
  <c r="Z40" i="19"/>
  <c r="T20" i="19"/>
  <c r="T50" i="19"/>
  <c r="AF30" i="19"/>
  <c r="Z10" i="19"/>
  <c r="AL50" i="19"/>
  <c r="AL10" i="19"/>
  <c r="T10" i="19"/>
  <c r="Z20" i="19"/>
  <c r="T40" i="19"/>
  <c r="AL40" i="19"/>
  <c r="N10" i="19"/>
  <c r="T30" i="19"/>
  <c r="AC40" i="1"/>
  <c r="N30" i="19"/>
  <c r="AL30" i="19"/>
  <c r="N50" i="19"/>
  <c r="AF20" i="19"/>
  <c r="N40" i="19"/>
  <c r="N20" i="19"/>
  <c r="AL37" i="19"/>
  <c r="AF37" i="19"/>
  <c r="AF47" i="19"/>
  <c r="T17" i="19"/>
  <c r="AF27" i="19"/>
  <c r="Z37" i="19"/>
  <c r="Z27" i="19"/>
  <c r="AL27" i="19"/>
  <c r="T47" i="19"/>
  <c r="Z17" i="19"/>
  <c r="T37" i="19"/>
  <c r="AL7" i="19"/>
  <c r="N27" i="19"/>
  <c r="T7" i="19"/>
  <c r="N17" i="19"/>
  <c r="T27" i="19"/>
  <c r="N47" i="19"/>
  <c r="AF17" i="19"/>
  <c r="Z7" i="19"/>
  <c r="Z47" i="19"/>
  <c r="AF7" i="19"/>
  <c r="AL47" i="19"/>
  <c r="N37" i="19"/>
  <c r="AL17" i="19"/>
  <c r="N7" i="19"/>
  <c r="V3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<sst xmlns="http://schemas.openxmlformats.org/spreadsheetml/2006/main" count="483" uniqueCount="336">
  <si>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</si>
  <si>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</si>
  <si>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</si>
  <si>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</si>
  <si>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</si>
  <si>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</si>
  <si>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</si>
  <si>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</si>
  <si>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</si>
  <si>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</si>
  <si>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</si>
  <si>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</si>
  <si>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</si>
  <si>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</si>
  <si>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</si>
  <si>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</si>
  <si>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</si>
  <si>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</si>
  <si>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</si>
  <si>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</si>
  <si>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</si>
  <si>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</si>
  <si>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</si>
  <si>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</si>
  <si>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</si>
  <si>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</si>
  <si>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</si>
  <si>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</si>
  <si>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</si>
  <si>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</si>
  <si>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</si>
  <si>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</si>
  <si>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</si>
  <si>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</si>
  <si>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</si>
  <si>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</si>
  <si>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</si>
  <si>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</si>
  <si>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</si>
  <si>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</si>
  <si>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</si>
  <si>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</si>
  <si>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</si>
  <si>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</si>
  <si>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</si>
  <si>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</si>
  <si>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</si>
  <si>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</si>
  <si>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</si>
  <si>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</si>
  <si>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</si>
  <si>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</si>
  <si>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</si>
  <si>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</si>
  <si>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</si>
  <si>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</si>
  <si>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</si>
  <si>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</si>
  <si>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</si>
  <si>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</si>
  <si>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</si>
  <si>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</si>
  <si>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</si>
  <si>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</si>
  <si>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</si>
  <si>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</si>
  <si>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</si>
  <si>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</si>
  <si>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</si>
  <si>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</si>
  <si>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</si>
  <si>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</si>
  <si>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</si>
  <si>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</si>
  <si>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</si>
  <si>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</si>
  <si>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</si>
  <si>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</si>
  <si>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</si>
  <si>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</si>
  <si>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</si>
  <si>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</si>
  <si>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</si>
  <si>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</si>
  <si>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</si>
  <si>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</si>
  <si>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</si>
  <si>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</si>
  <si>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</si>
  <si>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</si>
  <si>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</si>
  <si>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</si>
  <si>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</si>
  <si>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</si>
  <si>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</si>
  <si>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</si>
  <si>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</si>
  <si>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</si>
  <si>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</si>
  <si>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</si>
  <si>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</si>
  <si>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</si>
  <si>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</si>
  <si>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</si>
  <si>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</si>
  <si>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</si>
  <si>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</si>
  <si>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</si>
  <si>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</si>
  <si>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</si>
  <si>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</si>
  <si>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</si>
  <si>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</si>
  <si>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</si>
  <si>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</si>
  <si>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</si>
  <si>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</si>
  <si>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</si>
  <si>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</si>
  <si>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</si>
  <si>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</si>
  <si>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</si>
  <si>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</si>
  <si>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</si>
  <si>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</si>
  <si>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</si>
  <si>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</si>
  <si>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</si>
  <si>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</si>
  <si>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</si>
  <si>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</si>
  <si>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</si>
  <si>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</si>
  <si>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</si>
  <si>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</si>
  <si>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</si>
  <si>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</si>
  <si>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</si>
  <si>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</si>
  <si>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</si>
  <si>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</si>
  <si>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</si>
  <si>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</si>
  <si>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</si>
  <si>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</si>
  <si>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</si>
  <si>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</si>
  <si>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</si>
  <si>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</si>
  <si>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</si>
  <si>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</si>
  <si>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</si>
  <si>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</si>
  <si>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</si>
  <si>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</si>
  <si>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</si>
  <si>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</si>
  <si>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</si>
  <si>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</si>
  <si>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</si>
  <si>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</si>
  <si>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</si>
  <si>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</si>
  <si>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</si>
  <si>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</si>
  <si>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</si>
  <si>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</si>
  <si>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</si>
  <si>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</si>
  <si>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</si>
  <si>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</si>
  <si>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</si>
  <si>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</si>
  <si>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</si>
  <si>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</si>
  <si>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</si>
  <si>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</si>
  <si>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</si>
  <si>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</si>
  <si>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</si>
  <si>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</si>
  <si>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</si>
  <si>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</si>
  <si>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</si>
  <si>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</si>
  <si>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</si>
  <si>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</si>
  <si>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</si>
  <si>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</si>
  <si>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</si>
  <si>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</si>
  <si>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</si>
  <si>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</si>
  <si>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</si>
  <si>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</si>
  <si>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</si>
  <si>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</si>
  <si>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</si>
  <si>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</si>
  <si>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</si>
  <si>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</si>
  <si>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</si>
  <si>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</si>
  <si>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</si>
  <si>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</si>
  <si>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</si>
  <si>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</si>
  <si>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</si>
  <si>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</si>
  <si>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</si>
  <si>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</si>
  <si>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</si>
  <si>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</si>
  <si>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</si>
  <si>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</si>
  <si>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</si>
  <si>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</si>
  <si>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</si>
  <si>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</si>
  <si>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</si>
  <si>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</si>
  <si>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</si>
  <si>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</si>
  <si>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</si>
  <si>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</si>
  <si>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</si>
  <si>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</si>
  <si>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</si>
  <si>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</si>
  <si>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</si>
  <si>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Ambiental</t>
  </si>
  <si>
    <t>Daños Activos Físicos</t>
  </si>
  <si>
    <t>Ejecución y Administración de Procesos</t>
  </si>
  <si>
    <t>Fallas Tecnológicas</t>
  </si>
  <si>
    <t>Usuarios, productos y prácticas organizacionales</t>
  </si>
  <si>
    <t>Ambientales</t>
  </si>
  <si>
    <t>Afectación Ambiental</t>
  </si>
  <si>
    <t>Entre 1-12.500</t>
  </si>
  <si>
    <t>&gt; 12.500 - 25.000</t>
  </si>
  <si>
    <t>&gt; 25.000 – 125.000</t>
  </si>
  <si>
    <t>&gt; 125.000 – 500.000</t>
  </si>
  <si>
    <t>El riesgo afecta la imagen de la entidad internamente, de conocimiento general, nivel interno, de junta directiva y accionistas y/o de provedores</t>
  </si>
  <si>
    <t>&gt; 500.000 – 1.000.000</t>
  </si>
  <si>
    <t>No.</t>
  </si>
  <si>
    <t>CRITERIOS DE VALORACIÓN</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</si>
  <si>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</si>
  <si>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</si>
  <si>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</si>
  <si>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</si>
  <si>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</si>
  <si>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</si>
  <si>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</si>
  <si>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</si>
  <si>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</si>
  <si>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</si>
  <si>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</si>
  <si>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</si>
  <si>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</si>
  <si>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</si>
  <si>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</si>
  <si>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</si>
  <si>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Duración</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</si>
  <si>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</si>
  <si>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</si>
  <si>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</si>
  <si>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</si>
  <si>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</si>
  <si>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</si>
  <si>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</si>
  <si>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Recuperabilidad</t>
  </si>
  <si>
    <t>Se refiere a la posibilidad de reconstrucción, total o parcial del recurso afectado por el impacto.</t>
  </si>
  <si>
    <t>Reversible 1</t>
  </si>
  <si>
    <t>Recuperable 5</t>
  </si>
  <si>
    <t>Irrecuperable /irreversible 10</t>
  </si>
  <si>
    <t>El/los recursos afectados no retornan a las condiciones originales a través de ningún medio.</t>
  </si>
  <si>
    <t>Cantidad</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</si>
  <si>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</si>
  <si>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</si>
  <si>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</si>
  <si>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</si>
  <si>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</si>
  <si>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Normatividad</t>
  </si>
  <si>
    <t>Hace referencia a la normatividad ambiental aplicable    al    aspecto    y/o    el    impacto ambiental.</t>
  </si>
  <si>
    <t>No tiene normatividad relacionada.</t>
  </si>
  <si>
    <t>N/A</t>
  </si>
  <si>
    <t>Tiene normatividad relacionada.</t>
  </si>
  <si>
    <t>Se puede disminuir el efecto a través de medidas de control hasta un estándar determinado.</t>
  </si>
  <si>
    <t>Puede eliminarse el efecto por medio de actividades humanas tendientes a restablecer las condiciones originales del recurso.</t>
  </si>
  <si>
    <t>27 de abril de 2022</t>
  </si>
  <si>
    <t>F1 Actualización de toda la documentación de la dirección jurídica</t>
  </si>
  <si>
    <t>D1 Falta de información legal por motivos de restricciones de acceso a internet a paginas oficiales de entidades requeridas</t>
  </si>
  <si>
    <t>F2 Trabajo en equipo</t>
  </si>
  <si>
    <t>F3 Talento Humano competente</t>
  </si>
  <si>
    <t>D2 Falta de comunicación, socialización y capacitación acerca de los temas publicados en los medios tales en portal web e intranet</t>
  </si>
  <si>
    <t>D3 Demora en la entrega de la correspondencia que llega al CDI y van dirigidos a la dirección jurídica para su trámite.</t>
  </si>
  <si>
    <t>F4 Sentido de pertenencia del equipo de la Dirección Jurídica</t>
  </si>
  <si>
    <t>D4 Inoportunidad y falta de calidad en la información que requieren los abogados por parte de las inspecciones, alcaldías locales y demás dependencias para el desarrollo de las funciones de la dirección jurídica</t>
  </si>
  <si>
    <t>F5 Liderazgo en la coordinación interinstitucional</t>
  </si>
  <si>
    <t>D5 Falta de lineamientos de gestión documental y acompañamiento a la dirección jurídica para la organización de los archivos y carpetas generadas en cada uno de los grupos funcionales. Además de una custodia deficiente por parte del grupo de gestión documental lo que dificulta su consulta.</t>
  </si>
  <si>
    <t>D6 Equipos de cómputo obsoletos asignados al personal de la dirección.</t>
  </si>
  <si>
    <t>F6 Conservación de la memoria institucional y de la Dirección por parte del personal de planta</t>
  </si>
  <si>
    <t>D7 Falta de socialización en inducción y reinducción sobre la documentación que el personal requiere para realizar sus funciones.</t>
  </si>
  <si>
    <t>O1 Portales con las normas jurídicas (jurisprudencia y legislación) que facilitan la consulta y el trabajo de los abogados.</t>
  </si>
  <si>
    <t xml:space="preserve">A1 Sistemas de información SIPROJ y SUGA que no brindan disponibilidad completa </t>
  </si>
  <si>
    <t>O2 Cambio de normatividad a nivel nacional o distrital que subsana vacíos e inconsistencias jurídicas</t>
  </si>
  <si>
    <t xml:space="preserve">A2 SUGA que no se ajusta a la normatividad permitiendo generar inconsistencias desde el usuario externo </t>
  </si>
  <si>
    <t>O3 Instancias de coordinación de la gerencia jurídica del distrito</t>
  </si>
  <si>
    <t>A3 Insumo tardío de la información necesaria y requerida por parte de las otras entidades participantes en el SUGA</t>
  </si>
  <si>
    <t>O4 Comunicaciones por parte de la Secretaría Jurídica.</t>
  </si>
  <si>
    <t>A4 Falta de jurisprudencia por parte de la rama judicial que no permitan unificar los criterios para proferir fallos</t>
  </si>
  <si>
    <t>A5 Cambio de administración  que interrumpe los procesos jurídicos</t>
  </si>
  <si>
    <t>A6 Cambio de normatividad a nivel nacional o distrital que representa un desgaste al momento de analizar un asunto jurídico.</t>
  </si>
  <si>
    <t>No se tiene información de los cambios en ésta versión</t>
  </si>
  <si>
    <t>Se actualiza la matriz de riesgos del proceso. Se revisan, validan y/o ajustan los riesgos en sus diferentes elementos siguiendo la metodología de gestión del riesgo y los cambios surtidos en la reestructuración de la Entidad. Reemplaza la anterior matriz de riesgos del proceso denominado Gestión Jurídica con código 1D-GSJ-MR001 versión 4</t>
  </si>
  <si>
    <t>Se actualiza la matriz de riesgos con ocasión a los lineamientos emitidos por el Departamento Administrativo de la Función Publica - DAFP y versión 4 del Manual de Riesgos. Se elimina R2 teniendo en cuenta, que la no realización del Comité Interno de Conciliación es una actividad de trámite interno en el cual el Secretario Técnico verificá la disponibilidad de agendas para la citación a la sesiones del comité. Se ajusta el evento, causa y consecuencia de R1,R3 y R4.</t>
  </si>
  <si>
    <t>Se realizó ajustes de forma y redacciones en los diferentes riesgos, se adicionar controles  asociados al R3,  adicional se actualizó la valoración de la probabilidad e impacto de los riesgos y se realizó la evaluación asociada a los controles.</t>
  </si>
  <si>
    <t>Se realiza actualización de matriz de riesgos de gestión de acuerdo con los lineamientos establecidos en el manual de gestión del riesgo PLE-PIN-M001 versión 6. Se realizó a través de mesa de trabajo a la que asistió el promotor de mejora con el acompañamiento técnico del grupo de riesgos de la Oficina Asesora de Planeación. Se aprobó bajo caso HOLA N. 241862</t>
  </si>
  <si>
    <t>Gestión Jurídica</t>
  </si>
  <si>
    <t>Ejercer la defensa judicial y extrajudicial, la asesoría jurídica y el liderazgo en la identificación y difusión de las normas de forma acertada, oportuna, ágil y eficaz, para prevenir el daño antijurídico y brindar seguridad jurídica a la Secretaría Distrital de Gobierno.</t>
  </si>
  <si>
    <t>Comprende la defensa judicial y extrajudicial, la atención de tutelas, la sustanciación de procesos disciplinarios, la emisión de conceptos jurídicos, la revisión jurídica de acuerdos locales, la viabilidad jurídica de actos administrativos y el liderazgo de la identificación y difusión de normas jurídicas de la Secretaría Distrital de Gobierno.</t>
  </si>
  <si>
    <t>Falta de experiencia del profesional asignado a la revisión de actos administrativos</t>
  </si>
  <si>
    <t>Volumen de documentación para revisar</t>
  </si>
  <si>
    <t xml:space="preserve">Desconocimiento de lineamientos para la proyección de actos administrativos y viabilidad jurídica </t>
  </si>
  <si>
    <t>Posibilidad de impacto reputacional por la expedición de Actos Administrativos sin viabilidad Jurídica</t>
  </si>
  <si>
    <t>El/la abogado/a responsable del trámite, cada vez que se recibe una solicitud de viabilidad jurídica revisa y analiza jurídicamente el proyecto de acto administrativo, verificando que este cumpla con los requisitos legales y se encuentre en el formato establecido de acuerdo a su tipología.  En caso de tener observaciones se remitirá comunicación oficial dirigido a la dependencia o usuario solicitante requiriendo las modificaciones correspondientes, como evidencia de la ejecución del control queda la comunicación oficial proyectada por el abogado responsable del trámite y remitida por el Director (a) Jurídico.</t>
  </si>
  <si>
    <t>Consultas o problemas jurídicos que son nuevos o que no son frecuentes</t>
  </si>
  <si>
    <t>Desconocimiento de las actualizaciones normativas.</t>
  </si>
  <si>
    <t>Posibilidad de impacto reputacional por la emisión de conceptos sin tener en cuenta la actualización normativa, criterio unificado o lineamiento jurídico a seguir.</t>
  </si>
  <si>
    <t>El profesional especializado del equipo de conceptos, cada vez que se proyecta un concepto verifica  y analiza jurídicamente en el mismo  lo proyectado por el abogado responsable, validando que la normativa citada se encuentre vigente.  
En caso de encontrar incongruencias, solicita al abogado ajustar el documento con relación a la norma aplicable al caso, como evidencia de la ejecución del control queda como registro  la comunicación oficial.</t>
  </si>
  <si>
    <t>Demora en la información y acopio de elementos probatorios por parte del nivel local</t>
  </si>
  <si>
    <t>Desatención por parte del profesional de los términos de respuesta o de prescripción de las acciones</t>
  </si>
  <si>
    <t xml:space="preserve">Demora en la solicitud y/o entrega de la información y suministro de antecedentes requeridos para el trámite  judicial y/o extrajudicial. </t>
  </si>
  <si>
    <t>Posibilidad de afectación económica por el incumplimiento de términos para dar respuesta a los trámites administrativos, actuaciones judiciales y/o extrajudiciales o asistencia a las diligencias judiciales y/o extrajudiciales en las que la entidad interviene.</t>
  </si>
  <si>
    <t xml:space="preserve">El (a)  abogado (a) designado (a)  para el caso de representación judicial o extrajudicial, cada vez que recibe una solicitud, verifica el documento y  elabora el poder que se requiere a fin de que asuma la responsabilidad sobre la actuación judicial o extrajudicial.  Para el control de las actuaciones cada uno de los integrantes del grupo de representación presenta un informe pormenorizado de las actuaciones, asistencias y gestión adelantada con los soportes correspondientes. 
En caso de identificar alguna desviación en la representación de las actuaciones, asistencias o en la gestión  se debe informar al Director(a) Jurídico (a) para realizar los correctivos a que haya lugar. </t>
  </si>
  <si>
    <t xml:space="preserve">El profesional designado por el grupo de representación  efectúa una revisión mensual del sistema SIPROJ web para monitorear el estado y asignación de los procesos, como soporte de esta verificación se presenta un informe de revisión del SIPROJ.   
En caso de identificar alguna desviación en la representación de las actuaciones, asistencias o en la gestión se informa a la persona que tiene a cargo el apoyo a supervisión y  al Director(a) Jurídico (a) para realizar los correctivos a que haya lugar. </t>
  </si>
  <si>
    <t xml:space="preserve">El líder del grupo de representación desarrolla mensualmente una mesa de trabajo en la que se hace seguimiento a los diferentes temas o asuntos propios del área funcional.  Como soporte se elaboran las respectivas actas de estas mesas de trabajo. 
En caso de identificar alguna desviación en la representación de las actuaciones, asistencias o en la gestión se informa  al Director(a) Jurídico (a) para realizar los correctivos a que haya lugar.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</si>
</sst>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2"/>
      <color theme="1"/>
      <name val="Garamond"/>
      <family val="1"/>
    </font>
    <font>
      <sz val="12"/>
      <color rgb="FF000000"/>
      <name val="Garamond"/>
      <family val="1"/>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
      <patternFill patternType="solid">
        <fgColor rgb="FFB8CCE4"/>
        <bgColor indexed="64"/>
      </patternFill>
    </fill>
    <fill>
      <patternFill patternType="solid">
        <fgColor rgb="FFDBE5F1"/>
        <bgColor indexed="64"/>
      </patternFill>
    </fill>
    <fill>
      <patternFill patternType="solid">
        <fgColor rgb="FFFF9900"/>
        <bgColor indexed="64"/>
      </patternFill>
    </fill>
  </fills>
  <borders count="9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bottom style="medium">
        <color rgb="FF4F81BD"/>
      </bottom>
      <diagonal/>
    </border>
    <border>
      <left/>
      <right style="medium">
        <color rgb="FF4F81BD"/>
      </right>
      <top/>
      <bottom/>
      <diagonal/>
    </border>
    <border>
      <left style="medium">
        <color rgb="FF4F81BD"/>
      </left>
      <right/>
      <top style="medium">
        <color rgb="FF4F81BD"/>
      </top>
      <bottom style="medium">
        <color rgb="FF4F81BD"/>
      </bottom>
      <diagonal/>
    </border>
    <border>
      <left style="medium">
        <color rgb="FF4F81BD"/>
      </left>
      <right style="medium">
        <color rgb="FF4F81BD"/>
      </right>
      <top style="medium">
        <color rgb="FF4F81BD"/>
      </top>
      <bottom/>
      <diagonal/>
    </border>
    <border>
      <left/>
      <right style="medium">
        <color rgb="FF4F81BD"/>
      </right>
      <top style="medium">
        <color rgb="FF4F81BD"/>
      </top>
      <bottom/>
      <diagonal/>
    </border>
    <border>
      <left/>
      <right/>
      <top style="medium">
        <color rgb="FF4F81BD"/>
      </top>
      <bottom/>
      <diagonal/>
    </border>
    <border>
      <left style="thin">
        <color indexed="64"/>
      </left>
      <right style="medium">
        <color indexed="64"/>
      </right>
      <top style="thin">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4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49" fontId="65" fillId="19" borderId="0" xfId="0" applyNumberFormat="1" applyFont="1" applyFill="1" applyAlignment="1" applyProtection="1">
      <alignment vertical="center" wrapText="1"/>
      <protection locked="0"/>
    </xf>
    <xf numFmtId="0" fontId="63" fillId="19" borderId="0" xfId="0" applyFont="1" applyFill="1" applyProtection="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67" fillId="19" borderId="0" xfId="0" applyFont="1" applyFill="1" applyProtection="1">
      <protection locked="0"/>
    </xf>
    <xf numFmtId="0" fontId="67" fillId="19" borderId="0" xfId="0" applyFont="1" applyFill="1" applyAlignment="1" applyProtection="1">
      <alignment horizontal="center"/>
      <protection locked="0"/>
    </xf>
    <xf numFmtId="0" fontId="63" fillId="19" borderId="0" xfId="0" applyFont="1" applyFill="1" applyAlignment="1" applyProtection="1">
      <alignment horizontal="center"/>
      <protection locked="0"/>
    </xf>
    <xf numFmtId="0" fontId="68" fillId="0" borderId="69" xfId="0" applyFont="1" applyBorder="1" applyAlignment="1" applyProtection="1">
      <alignment horizontal="right"/>
      <protection locked="0"/>
    </xf>
    <xf numFmtId="0" fontId="70" fillId="19" borderId="0" xfId="0" applyFont="1" applyFill="1" applyAlignment="1" applyProtection="1">
      <alignment horizontal="center" vertical="center" wrapText="1"/>
      <protection locked="0"/>
    </xf>
    <xf numFmtId="14" fontId="68" fillId="0" borderId="69" xfId="0" applyNumberFormat="1" applyFont="1" applyBorder="1" applyAlignment="1" applyProtection="1">
      <alignment horizontal="right"/>
      <protection locked="0"/>
    </xf>
    <xf numFmtId="0" fontId="70" fillId="19" borderId="0" xfId="0" applyFont="1" applyFill="1" applyAlignment="1" applyProtection="1">
      <alignment vertical="center" wrapText="1"/>
      <protection locked="0"/>
    </xf>
    <xf numFmtId="0" fontId="71" fillId="19" borderId="0" xfId="0" applyFont="1" applyFill="1" applyAlignment="1" applyProtection="1">
      <alignment vertical="center" wrapText="1"/>
      <protection locked="0"/>
    </xf>
    <xf numFmtId="0" fontId="66" fillId="19" borderId="0" xfId="0" applyFont="1" applyFill="1" applyAlignment="1" applyProtection="1">
      <alignment horizontal="center" vertical="center" wrapText="1"/>
      <protection locked="0"/>
    </xf>
    <xf numFmtId="0" fontId="63" fillId="19" borderId="0" xfId="0" applyFont="1" applyFill="1" applyAlignment="1" applyProtection="1">
      <alignment horizontal="center" vertical="center"/>
      <protection locked="0"/>
    </xf>
    <xf numFmtId="0" fontId="67" fillId="19" borderId="0" xfId="0" applyFont="1" applyFill="1" applyAlignment="1" applyProtection="1">
      <alignment horizontal="center" vertical="center" wrapText="1"/>
      <protection locked="0"/>
    </xf>
    <xf numFmtId="0" fontId="67" fillId="19" borderId="0" xfId="0" applyFont="1" applyFill="1" applyAlignment="1" applyProtection="1">
      <alignment horizontal="center" vertical="center"/>
      <protection locked="0"/>
    </xf>
    <xf numFmtId="0" fontId="72" fillId="19" borderId="0" xfId="0" applyFont="1" applyFill="1" applyAlignment="1" applyProtection="1">
      <alignment horizontal="center" vertical="center"/>
      <protection locked="0"/>
    </xf>
    <xf numFmtId="2" fontId="68" fillId="19" borderId="0" xfId="0" applyNumberFormat="1" applyFont="1" applyFill="1" applyAlignment="1" applyProtection="1">
      <alignment horizontal="center" vertical="center" wrapText="1"/>
      <protection locked="0"/>
    </xf>
    <xf numFmtId="0" fontId="72" fillId="19" borderId="0" xfId="0" applyFont="1" applyFill="1" applyProtection="1">
      <protection locked="0"/>
    </xf>
    <xf numFmtId="0" fontId="72" fillId="19" borderId="0" xfId="0" applyFont="1" applyFill="1" applyAlignment="1" applyProtection="1">
      <alignment horizontal="center"/>
      <protection locked="0"/>
    </xf>
    <xf numFmtId="0" fontId="73" fillId="19" borderId="0" xfId="0" applyFont="1" applyFill="1" applyAlignment="1" applyProtection="1">
      <alignment horizontal="left" vertical="center"/>
      <protection locked="0"/>
    </xf>
    <xf numFmtId="165" fontId="66" fillId="19" borderId="0" xfId="0" applyNumberFormat="1" applyFont="1" applyFill="1" applyAlignment="1" applyProtection="1">
      <alignment horizontal="center" vertical="center"/>
      <protection locked="0"/>
    </xf>
    <xf numFmtId="0" fontId="68" fillId="19" borderId="0" xfId="0" applyFont="1" applyFill="1" applyAlignment="1" applyProtection="1">
      <alignment horizontal="left" vertical="center" wrapText="1"/>
      <protection locked="0"/>
    </xf>
    <xf numFmtId="0" fontId="68" fillId="19" borderId="0" xfId="0" applyFont="1" applyFill="1" applyAlignment="1" applyProtection="1">
      <alignment vertical="justify" wrapText="1"/>
      <protection locked="0"/>
    </xf>
    <xf numFmtId="0" fontId="63" fillId="0" borderId="0" xfId="0" applyFont="1" applyProtection="1">
      <protection locked="0"/>
    </xf>
    <xf numFmtId="0" fontId="48" fillId="19" borderId="0" xfId="0" applyFont="1" applyFill="1" applyAlignment="1" applyProtection="1">
      <alignment vertical="center" wrapText="1"/>
      <protection locked="0"/>
    </xf>
    <xf numFmtId="0" fontId="74" fillId="20" borderId="0" xfId="0" applyFont="1" applyFill="1" applyBorder="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75" fillId="20" borderId="0" xfId="0" applyFont="1" applyFill="1" applyBorder="1" applyAlignment="1" applyProtection="1">
      <alignment horizontal="center" vertical="center" wrapText="1"/>
      <protection hidden="1"/>
    </xf>
    <xf numFmtId="0" fontId="68" fillId="20" borderId="0" xfId="0" applyFont="1" applyFill="1" applyBorder="1" applyAlignment="1" applyProtection="1">
      <alignment horizontal="center" vertical="justify" wrapText="1"/>
      <protection locked="0"/>
    </xf>
    <xf numFmtId="0" fontId="68" fillId="20" borderId="0" xfId="0" applyFont="1" applyFill="1" applyBorder="1" applyAlignment="1" applyProtection="1">
      <alignment vertical="justify" wrapText="1"/>
      <protection locked="0"/>
    </xf>
    <xf numFmtId="0" fontId="70" fillId="19" borderId="69" xfId="0" applyFont="1" applyFill="1" applyBorder="1" applyAlignment="1" applyProtection="1">
      <alignment vertical="center" wrapText="1"/>
      <protection locked="0"/>
    </xf>
    <xf numFmtId="0" fontId="70" fillId="19" borderId="0" xfId="0" applyFont="1" applyFill="1" applyBorder="1" applyAlignment="1" applyProtection="1">
      <alignment vertical="center" wrapText="1"/>
      <protection locked="0"/>
    </xf>
    <xf numFmtId="0" fontId="69" fillId="0" borderId="33" xfId="0" applyFont="1" applyBorder="1" applyAlignment="1" applyProtection="1">
      <alignment horizontal="center" vertical="center" wrapText="1"/>
      <protection locked="0"/>
    </xf>
    <xf numFmtId="0" fontId="69" fillId="19" borderId="0" xfId="0" applyFont="1" applyFill="1" applyBorder="1" applyAlignment="1" applyProtection="1">
      <alignment horizontal="right" wrapText="1"/>
      <protection locked="0"/>
    </xf>
    <xf numFmtId="49" fontId="64" fillId="19" borderId="0" xfId="0" applyNumberFormat="1" applyFont="1" applyFill="1" applyAlignment="1" applyProtection="1">
      <alignment vertical="center" wrapText="1"/>
      <protection locked="0"/>
    </xf>
    <xf numFmtId="0" fontId="37" fillId="0" borderId="0" xfId="0" applyFont="1" applyAlignment="1">
      <alignment vertical="center"/>
    </xf>
    <xf numFmtId="0" fontId="78" fillId="21" borderId="81" xfId="0" applyFont="1" applyFill="1" applyBorder="1" applyAlignment="1">
      <alignment horizontal="center" vertical="center" wrapText="1"/>
    </xf>
    <xf numFmtId="0" fontId="79" fillId="21" borderId="82" xfId="0" applyFont="1" applyFill="1" applyBorder="1" applyAlignment="1">
      <alignment horizontal="center" vertical="center" wrapText="1"/>
    </xf>
    <xf numFmtId="0" fontId="79" fillId="22" borderId="87" xfId="0" applyFont="1" applyFill="1" applyBorder="1" applyAlignment="1">
      <alignment horizontal="center" vertical="center" wrapText="1"/>
    </xf>
    <xf numFmtId="0" fontId="78" fillId="0" borderId="87" xfId="0" applyFont="1" applyBorder="1" applyAlignment="1">
      <alignment horizontal="center" vertical="center" wrapText="1"/>
    </xf>
    <xf numFmtId="0" fontId="79" fillId="22" borderId="86" xfId="0" applyFont="1" applyFill="1" applyBorder="1" applyAlignment="1">
      <alignment horizontal="center" vertical="center" wrapText="1"/>
    </xf>
    <xf numFmtId="0" fontId="78" fillId="0" borderId="86" xfId="0" applyFont="1" applyBorder="1" applyAlignment="1">
      <alignment horizontal="center" vertical="center" wrapText="1"/>
    </xf>
    <xf numFmtId="0" fontId="37" fillId="0" borderId="86" xfId="0" applyFont="1" applyBorder="1" applyAlignment="1">
      <alignment vertical="center" wrapText="1"/>
    </xf>
    <xf numFmtId="0" fontId="37" fillId="0" borderId="86" xfId="0" applyFont="1" applyBorder="1" applyAlignment="1">
      <alignment horizontal="center" vertical="center" wrapText="1"/>
    </xf>
    <xf numFmtId="0" fontId="79" fillId="22" borderId="90" xfId="0" applyFont="1" applyFill="1" applyBorder="1" applyAlignment="1">
      <alignment horizontal="center" vertical="center" wrapText="1"/>
    </xf>
    <xf numFmtId="0" fontId="78" fillId="0" borderId="90" xfId="0" applyFont="1" applyBorder="1" applyAlignment="1">
      <alignment horizontal="center" vertical="center" wrapText="1"/>
    </xf>
    <xf numFmtId="164" fontId="1" fillId="0" borderId="2" xfId="1" applyNumberFormat="1" applyFont="1" applyBorder="1" applyAlignment="1">
      <alignment horizontal="center" vertical="center"/>
    </xf>
    <xf numFmtId="0" fontId="37" fillId="0" borderId="0" xfId="0" applyFont="1" applyFill="1" applyAlignment="1">
      <alignment vertical="center"/>
    </xf>
    <xf numFmtId="0" fontId="37" fillId="0" borderId="33" xfId="0" applyFont="1" applyBorder="1" applyAlignment="1">
      <alignment horizontal="center" vertical="center"/>
    </xf>
    <xf numFmtId="0" fontId="37" fillId="5" borderId="33" xfId="0" applyFont="1" applyFill="1" applyBorder="1" applyAlignment="1">
      <alignment horizontal="center" vertical="center"/>
    </xf>
    <xf numFmtId="0" fontId="78" fillId="0" borderId="0" xfId="0" applyFont="1" applyBorder="1" applyAlignment="1">
      <alignment horizontal="center" vertical="center" wrapText="1"/>
    </xf>
    <xf numFmtId="0" fontId="37" fillId="23" borderId="33" xfId="0" applyFont="1" applyFill="1" applyBorder="1" applyAlignment="1">
      <alignment vertical="center"/>
    </xf>
    <xf numFmtId="0" fontId="78" fillId="0" borderId="91" xfId="0" applyFont="1" applyBorder="1" applyAlignment="1">
      <alignment horizontal="center" vertical="center" wrapText="1"/>
    </xf>
    <xf numFmtId="9" fontId="1" fillId="0" borderId="4" xfId="0" applyNumberFormat="1"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4" xfId="0" applyFont="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1" fillId="0" borderId="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9" fontId="1" fillId="0" borderId="4" xfId="0" applyNumberFormat="1" applyFont="1" applyBorder="1" applyAlignment="1" applyProtection="1">
      <alignment horizontal="center" vertical="center" wrapText="1"/>
      <protection locked="0"/>
    </xf>
    <xf numFmtId="0" fontId="74" fillId="20" borderId="0" xfId="0" applyFont="1" applyFill="1" applyBorder="1" applyAlignment="1" applyProtection="1">
      <alignment horizontal="center" vertical="center" wrapText="1"/>
      <protection locked="0"/>
    </xf>
    <xf numFmtId="0" fontId="70" fillId="0" borderId="0" xfId="0" applyFont="1" applyFill="1" applyAlignment="1" applyProtection="1">
      <alignment vertical="center" wrapText="1"/>
      <protection locked="0"/>
    </xf>
    <xf numFmtId="0" fontId="62" fillId="3" borderId="48" xfId="2" applyFont="1" applyFill="1" applyBorder="1" applyAlignment="1">
      <alignment horizontal="center" vertical="center" wrapText="1"/>
    </xf>
    <xf numFmtId="0" fontId="62" fillId="3" borderId="49" xfId="2" applyFont="1" applyFill="1" applyBorder="1" applyAlignment="1">
      <alignment horizontal="center" vertical="center" wrapText="1"/>
    </xf>
    <xf numFmtId="0" fontId="62"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34" xfId="0" applyFont="1" applyFill="1" applyBorder="1" applyAlignment="1">
      <alignment horizontal="center" vertical="center" wrapText="1"/>
    </xf>
    <xf numFmtId="49" fontId="77" fillId="19" borderId="0" xfId="0" applyNumberFormat="1" applyFont="1" applyFill="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68" fillId="20" borderId="0" xfId="0" applyFont="1" applyFill="1" applyBorder="1" applyAlignment="1" applyProtection="1">
      <alignment horizontal="center" vertical="justify" wrapText="1"/>
      <protection locked="0"/>
    </xf>
    <xf numFmtId="0" fontId="76" fillId="19" borderId="0" xfId="0" applyFont="1" applyFill="1" applyAlignment="1" applyProtection="1">
      <alignment horizontal="left" vertical="top"/>
      <protection locked="0"/>
    </xf>
    <xf numFmtId="0" fontId="69" fillId="0" borderId="77" xfId="0" applyFont="1" applyBorder="1" applyAlignment="1" applyProtection="1">
      <alignment horizontal="center" vertical="center" wrapText="1"/>
      <protection locked="0"/>
    </xf>
    <xf numFmtId="0" fontId="74" fillId="20" borderId="0" xfId="0" applyFont="1" applyFill="1" applyBorder="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9" fillId="0" borderId="79" xfId="0" applyFont="1" applyBorder="1" applyAlignment="1" applyProtection="1">
      <alignment horizontal="center" vertical="center" wrapText="1"/>
      <protection locked="0"/>
    </xf>
    <xf numFmtId="0" fontId="69" fillId="0" borderId="80" xfId="0"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8"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79" fillId="22" borderId="89" xfId="0" applyFont="1" applyFill="1" applyBorder="1" applyAlignment="1">
      <alignment horizontal="center" vertical="center" wrapText="1"/>
    </xf>
    <xf numFmtId="0" fontId="79" fillId="22" borderId="84" xfId="0" applyFont="1" applyFill="1" applyBorder="1" applyAlignment="1">
      <alignment horizontal="center" vertical="center" wrapText="1"/>
    </xf>
    <xf numFmtId="0" fontId="78" fillId="0" borderId="89" xfId="0" applyFont="1" applyBorder="1" applyAlignment="1">
      <alignment horizontal="center" vertical="center" wrapText="1"/>
    </xf>
    <xf numFmtId="0" fontId="78" fillId="0" borderId="84" xfId="0" applyFont="1" applyBorder="1" applyAlignment="1">
      <alignment horizontal="center" vertical="center" wrapText="1"/>
    </xf>
    <xf numFmtId="0" fontId="79" fillId="21" borderId="88" xfId="0" applyFont="1" applyFill="1" applyBorder="1" applyAlignment="1">
      <alignment horizontal="center" vertical="center" wrapText="1"/>
    </xf>
    <xf numFmtId="0" fontId="79" fillId="21" borderId="83" xfId="0" applyFont="1" applyFill="1" applyBorder="1" applyAlignment="1">
      <alignment horizontal="center" vertical="center" wrapText="1"/>
    </xf>
    <xf numFmtId="0" fontId="79" fillId="21" borderId="82" xfId="0" applyFont="1" applyFill="1" applyBorder="1" applyAlignment="1">
      <alignment horizontal="center" vertical="center" wrapText="1"/>
    </xf>
    <xf numFmtId="0" fontId="79" fillId="22" borderId="85" xfId="0" applyFont="1" applyFill="1" applyBorder="1" applyAlignment="1">
      <alignment horizontal="center" vertical="center" wrapText="1"/>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1" fillId="0" borderId="33" xfId="0" applyFont="1" applyBorder="1" applyAlignment="1">
      <alignment horizontal="left" vertical="center" wrapText="1"/>
    </xf>
    <xf numFmtId="0" fontId="61" fillId="0" borderId="92" xfId="0" applyFont="1" applyBorder="1" applyAlignment="1">
      <alignment horizontal="left" vertical="center" wrapText="1"/>
    </xf>
    <xf numFmtId="0" fontId="61" fillId="0" borderId="43" xfId="0" applyFont="1" applyBorder="1" applyAlignment="1">
      <alignment horizontal="left" vertical="center" wrapText="1"/>
    </xf>
    <xf numFmtId="0" fontId="61" fillId="0" borderId="75" xfId="0" applyFont="1" applyBorder="1" applyAlignment="1">
      <alignment horizontal="left" vertical="center" wrapText="1"/>
    </xf>
    <xf numFmtId="0" fontId="61" fillId="0" borderId="76" xfId="0" applyFont="1" applyBorder="1" applyAlignment="1">
      <alignment horizontal="left" vertical="center" wrapText="1"/>
    </xf>
    <xf numFmtId="0" fontId="61" fillId="0" borderId="34" xfId="0" applyFont="1" applyBorder="1" applyAlignment="1">
      <alignment horizontal="left" vertical="center" wrapText="1"/>
    </xf>
    <xf numFmtId="0" fontId="61" fillId="0" borderId="38" xfId="0" applyFont="1" applyBorder="1" applyAlignment="1">
      <alignment horizontal="left" vertical="center" wrapText="1"/>
    </xf>
    <xf numFmtId="0" fontId="61" fillId="0" borderId="33" xfId="0" applyFont="1" applyBorder="1" applyAlignment="1">
      <alignment vertical="center" wrapText="1"/>
    </xf>
    <xf numFmtId="0" fontId="61" fillId="0" borderId="33" xfId="0" applyFont="1" applyBorder="1" applyAlignment="1">
      <alignment horizontal="left" vertical="center" wrapText="1"/>
    </xf>
    <xf numFmtId="0" fontId="59" fillId="17" borderId="76" xfId="0" applyFont="1" applyFill="1" applyBorder="1" applyAlignment="1">
      <alignment vertical="center" wrapText="1"/>
    </xf>
    <xf numFmtId="0" fontId="68" fillId="19" borderId="33" xfId="0" applyFont="1" applyFill="1" applyBorder="1" applyAlignment="1" applyProtection="1">
      <alignment horizontal="center" vertical="center" wrapText="1"/>
      <protection locked="0"/>
    </xf>
    <xf numFmtId="14" fontId="68" fillId="19" borderId="33" xfId="0" applyNumberFormat="1" applyFont="1" applyFill="1" applyBorder="1" applyAlignment="1" applyProtection="1">
      <alignment horizontal="center" vertical="center" wrapText="1"/>
      <protection locked="0"/>
    </xf>
    <xf numFmtId="0" fontId="68" fillId="19" borderId="78" xfId="0" applyFont="1" applyFill="1" applyBorder="1" applyAlignment="1" applyProtection="1">
      <alignment horizontal="left" vertical="center" wrapText="1"/>
      <protection locked="0"/>
    </xf>
    <xf numFmtId="0" fontId="68" fillId="19" borderId="79" xfId="0" applyFont="1" applyFill="1" applyBorder="1" applyAlignment="1" applyProtection="1">
      <alignment horizontal="left" vertical="center" wrapText="1"/>
      <protection locked="0"/>
    </xf>
    <xf numFmtId="0" fontId="68" fillId="19" borderId="80" xfId="0" applyFont="1" applyFill="1" applyBorder="1" applyAlignment="1" applyProtection="1">
      <alignment horizontal="left" vertical="center" wrapText="1"/>
      <protection locked="0"/>
    </xf>
    <xf numFmtId="14" fontId="68" fillId="0" borderId="33" xfId="0" applyNumberFormat="1" applyFont="1" applyFill="1" applyBorder="1" applyAlignment="1" applyProtection="1">
      <alignment horizontal="center" vertical="center" wrapText="1"/>
      <protection locked="0"/>
    </xf>
    <xf numFmtId="0" fontId="68" fillId="0" borderId="78" xfId="0" applyFont="1" applyFill="1" applyBorder="1" applyAlignment="1" applyProtection="1">
      <alignment horizontal="left" vertical="center" wrapText="1"/>
      <protection locked="0"/>
    </xf>
    <xf numFmtId="0" fontId="68" fillId="0" borderId="79" xfId="0" applyFont="1" applyFill="1" applyBorder="1" applyAlignment="1" applyProtection="1">
      <alignment horizontal="left" vertical="center" wrapText="1"/>
      <protection locked="0"/>
    </xf>
    <xf numFmtId="0" fontId="68" fillId="0" borderId="80" xfId="0" applyFont="1" applyFill="1" applyBorder="1" applyAlignment="1" applyProtection="1">
      <alignment horizontal="left" vertical="center" wrapText="1"/>
      <protection locked="0"/>
    </xf>
    <xf numFmtId="0" fontId="1" fillId="0" borderId="2" xfId="0" applyFont="1" applyBorder="1" applyAlignment="1">
      <alignment horizontal="left" vertical="center" wrapText="1"/>
    </xf>
    <xf numFmtId="0" fontId="2" fillId="0" borderId="4"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protection locked="0"/>
    </xf>
    <xf numFmtId="0" fontId="1"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4" fillId="0" borderId="5" xfId="0"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hidden="1"/>
    </xf>
    <xf numFmtId="164" fontId="1" fillId="9" borderId="2" xfId="1" applyNumberFormat="1" applyFont="1" applyFill="1" applyBorder="1" applyAlignment="1">
      <alignment horizontal="center" vertical="center"/>
    </xf>
    <xf numFmtId="0" fontId="1" fillId="0" borderId="2" xfId="0" applyFont="1" applyBorder="1" applyAlignment="1" applyProtection="1">
      <alignment horizontal="justify" vertical="center" wrapText="1"/>
      <protection locked="0"/>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pplyProtection="1">
      <alignment horizontal="center" vertical="center" textRotation="90"/>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40">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12</xdr:row>
      <xdr:rowOff>0</xdr:rowOff>
    </xdr:from>
    <xdr:to>
      <xdr:col>16</xdr:col>
      <xdr:colOff>320675</xdr:colOff>
      <xdr:row>12</xdr:row>
      <xdr:rowOff>307181</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0</xdr:rowOff>
    </xdr:from>
    <xdr:to>
      <xdr:col>16</xdr:col>
      <xdr:colOff>320675</xdr:colOff>
      <xdr:row>12</xdr:row>
      <xdr:rowOff>307181</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0</xdr:rowOff>
    </xdr:from>
    <xdr:to>
      <xdr:col>16</xdr:col>
      <xdr:colOff>320675</xdr:colOff>
      <xdr:row>12</xdr:row>
      <xdr:rowOff>307181</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0</xdr:rowOff>
    </xdr:from>
    <xdr:to>
      <xdr:col>16</xdr:col>
      <xdr:colOff>320675</xdr:colOff>
      <xdr:row>12</xdr:row>
      <xdr:rowOff>307181</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409720</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31</xdr:col>
      <xdr:colOff>1028411</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1866900</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25400</xdr:colOff>
      <xdr:row>12</xdr:row>
      <xdr:rowOff>0</xdr:rowOff>
    </xdr:from>
    <xdr:to>
      <xdr:col>16</xdr:col>
      <xdr:colOff>320675</xdr:colOff>
      <xdr:row>12</xdr:row>
      <xdr:rowOff>307181</xdr:rowOff>
    </xdr:to>
    <xdr:sp macro="" textlink="">
      <xdr:nvSpPr>
        <xdr:cNvPr id="9" name="AutoShape 38" descr="Resultado de imagen para boton agregar icono">
          <a:extLst>
            <a:ext uri="{FF2B5EF4-FFF2-40B4-BE49-F238E27FC236}">
              <a16:creationId xmlns:a16="http://schemas.microsoft.com/office/drawing/2014/main" id="{BD1971A9-A8C7-43BC-9952-F8561B6F48C4}"/>
            </a:ext>
          </a:extLst>
        </xdr:cNvPr>
        <xdr:cNvSpPr>
          <a:spLocks noChangeAspect="1" noChangeArrowheads="1"/>
        </xdr:cNvSpPr>
      </xdr:nvSpPr>
      <xdr:spPr bwMode="auto">
        <a:xfrm>
          <a:off x="18332450" y="683895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0</xdr:rowOff>
    </xdr:from>
    <xdr:to>
      <xdr:col>16</xdr:col>
      <xdr:colOff>320675</xdr:colOff>
      <xdr:row>12</xdr:row>
      <xdr:rowOff>307181</xdr:rowOff>
    </xdr:to>
    <xdr:sp macro="" textlink="">
      <xdr:nvSpPr>
        <xdr:cNvPr id="10" name="AutoShape 39" descr="Resultado de imagen para boton agregar icono">
          <a:extLst>
            <a:ext uri="{FF2B5EF4-FFF2-40B4-BE49-F238E27FC236}">
              <a16:creationId xmlns:a16="http://schemas.microsoft.com/office/drawing/2014/main" id="{6297570E-5FCC-43FE-8E47-A5052B26BE73}"/>
            </a:ext>
          </a:extLst>
        </xdr:cNvPr>
        <xdr:cNvSpPr>
          <a:spLocks noChangeAspect="1" noChangeArrowheads="1"/>
        </xdr:cNvSpPr>
      </xdr:nvSpPr>
      <xdr:spPr bwMode="auto">
        <a:xfrm>
          <a:off x="18332450" y="683895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0</xdr:rowOff>
    </xdr:from>
    <xdr:to>
      <xdr:col>16</xdr:col>
      <xdr:colOff>320675</xdr:colOff>
      <xdr:row>12</xdr:row>
      <xdr:rowOff>307181</xdr:rowOff>
    </xdr:to>
    <xdr:sp macro="" textlink="">
      <xdr:nvSpPr>
        <xdr:cNvPr id="11" name="AutoShape 40" descr="Resultado de imagen para boton agregar icono">
          <a:extLst>
            <a:ext uri="{FF2B5EF4-FFF2-40B4-BE49-F238E27FC236}">
              <a16:creationId xmlns:a16="http://schemas.microsoft.com/office/drawing/2014/main" id="{97245DCF-1075-422D-AC48-C26AD2121F42}"/>
            </a:ext>
          </a:extLst>
        </xdr:cNvPr>
        <xdr:cNvSpPr>
          <a:spLocks noChangeAspect="1" noChangeArrowheads="1"/>
        </xdr:cNvSpPr>
      </xdr:nvSpPr>
      <xdr:spPr bwMode="auto">
        <a:xfrm>
          <a:off x="18332450" y="683895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0</xdr:rowOff>
    </xdr:from>
    <xdr:to>
      <xdr:col>16</xdr:col>
      <xdr:colOff>320675</xdr:colOff>
      <xdr:row>12</xdr:row>
      <xdr:rowOff>307181</xdr:rowOff>
    </xdr:to>
    <xdr:sp macro="" textlink="">
      <xdr:nvSpPr>
        <xdr:cNvPr id="12" name="AutoShape 42" descr="Z">
          <a:extLst>
            <a:ext uri="{FF2B5EF4-FFF2-40B4-BE49-F238E27FC236}">
              <a16:creationId xmlns:a16="http://schemas.microsoft.com/office/drawing/2014/main" id="{1D66239F-7D61-4F2B-B791-11304E0D40CE}"/>
            </a:ext>
          </a:extLst>
        </xdr:cNvPr>
        <xdr:cNvSpPr>
          <a:spLocks noChangeAspect="1" noChangeArrowheads="1"/>
        </xdr:cNvSpPr>
      </xdr:nvSpPr>
      <xdr:spPr bwMode="auto">
        <a:xfrm>
          <a:off x="18332450" y="683895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412101</xdr:rowOff>
    </xdr:to>
    <xdr:sp macro="" textlink="">
      <xdr:nvSpPr>
        <xdr:cNvPr id="13" name="Rectangle 53">
          <a:extLst>
            <a:ext uri="{FF2B5EF4-FFF2-40B4-BE49-F238E27FC236}">
              <a16:creationId xmlns:a16="http://schemas.microsoft.com/office/drawing/2014/main" id="{773675F6-2067-4125-BF95-4B7BEC6B986E}"/>
            </a:ext>
          </a:extLst>
        </xdr:cNvPr>
        <xdr:cNvSpPr>
          <a:spLocks noChangeArrowheads="1"/>
        </xdr:cNvSpPr>
      </xdr:nvSpPr>
      <xdr:spPr bwMode="auto">
        <a:xfrm>
          <a:off x="18332450" y="2355850"/>
          <a:ext cx="0" cy="280338"/>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12</xdr:row>
      <xdr:rowOff>0</xdr:rowOff>
    </xdr:from>
    <xdr:to>
      <xdr:col>16</xdr:col>
      <xdr:colOff>320675</xdr:colOff>
      <xdr:row>12</xdr:row>
      <xdr:rowOff>307181</xdr:rowOff>
    </xdr:to>
    <xdr:sp macro="" textlink="">
      <xdr:nvSpPr>
        <xdr:cNvPr id="14" name="AutoShape 38" descr="Resultado de imagen para boton agregar icono">
          <a:extLst>
            <a:ext uri="{FF2B5EF4-FFF2-40B4-BE49-F238E27FC236}">
              <a16:creationId xmlns:a16="http://schemas.microsoft.com/office/drawing/2014/main" id="{9A453D6D-2F96-428D-A579-DAB70DDF0276}"/>
            </a:ext>
          </a:extLst>
        </xdr:cNvPr>
        <xdr:cNvSpPr>
          <a:spLocks noChangeAspect="1" noChangeArrowheads="1"/>
        </xdr:cNvSpPr>
      </xdr:nvSpPr>
      <xdr:spPr bwMode="auto">
        <a:xfrm>
          <a:off x="18332450" y="683895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0</xdr:rowOff>
    </xdr:from>
    <xdr:to>
      <xdr:col>16</xdr:col>
      <xdr:colOff>320675</xdr:colOff>
      <xdr:row>12</xdr:row>
      <xdr:rowOff>307181</xdr:rowOff>
    </xdr:to>
    <xdr:sp macro="" textlink="">
      <xdr:nvSpPr>
        <xdr:cNvPr id="15" name="AutoShape 39" descr="Resultado de imagen para boton agregar icono">
          <a:extLst>
            <a:ext uri="{FF2B5EF4-FFF2-40B4-BE49-F238E27FC236}">
              <a16:creationId xmlns:a16="http://schemas.microsoft.com/office/drawing/2014/main" id="{61FFC796-7BF4-4A60-81DF-40C1B32DEAD0}"/>
            </a:ext>
          </a:extLst>
        </xdr:cNvPr>
        <xdr:cNvSpPr>
          <a:spLocks noChangeAspect="1" noChangeArrowheads="1"/>
        </xdr:cNvSpPr>
      </xdr:nvSpPr>
      <xdr:spPr bwMode="auto">
        <a:xfrm>
          <a:off x="18332450" y="683895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0</xdr:rowOff>
    </xdr:from>
    <xdr:to>
      <xdr:col>16</xdr:col>
      <xdr:colOff>320675</xdr:colOff>
      <xdr:row>12</xdr:row>
      <xdr:rowOff>307181</xdr:rowOff>
    </xdr:to>
    <xdr:sp macro="" textlink="">
      <xdr:nvSpPr>
        <xdr:cNvPr id="16" name="AutoShape 40" descr="Resultado de imagen para boton agregar icono">
          <a:extLst>
            <a:ext uri="{FF2B5EF4-FFF2-40B4-BE49-F238E27FC236}">
              <a16:creationId xmlns:a16="http://schemas.microsoft.com/office/drawing/2014/main" id="{4234E036-CD08-4759-91A7-0D8CBB6E0993}"/>
            </a:ext>
          </a:extLst>
        </xdr:cNvPr>
        <xdr:cNvSpPr>
          <a:spLocks noChangeAspect="1" noChangeArrowheads="1"/>
        </xdr:cNvSpPr>
      </xdr:nvSpPr>
      <xdr:spPr bwMode="auto">
        <a:xfrm>
          <a:off x="18332450" y="683895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0</xdr:rowOff>
    </xdr:from>
    <xdr:to>
      <xdr:col>16</xdr:col>
      <xdr:colOff>320675</xdr:colOff>
      <xdr:row>12</xdr:row>
      <xdr:rowOff>307181</xdr:rowOff>
    </xdr:to>
    <xdr:sp macro="" textlink="">
      <xdr:nvSpPr>
        <xdr:cNvPr id="17" name="AutoShape 42" descr="Z">
          <a:extLst>
            <a:ext uri="{FF2B5EF4-FFF2-40B4-BE49-F238E27FC236}">
              <a16:creationId xmlns:a16="http://schemas.microsoft.com/office/drawing/2014/main" id="{6685AE5B-602B-40CB-8E73-8989C709533A}"/>
            </a:ext>
          </a:extLst>
        </xdr:cNvPr>
        <xdr:cNvSpPr>
          <a:spLocks noChangeAspect="1" noChangeArrowheads="1"/>
        </xdr:cNvSpPr>
      </xdr:nvSpPr>
      <xdr:spPr bwMode="auto">
        <a:xfrm>
          <a:off x="18332450" y="683895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412101</xdr:rowOff>
    </xdr:to>
    <xdr:sp macro="" textlink="">
      <xdr:nvSpPr>
        <xdr:cNvPr id="18" name="Rectangle 53">
          <a:extLst>
            <a:ext uri="{FF2B5EF4-FFF2-40B4-BE49-F238E27FC236}">
              <a16:creationId xmlns:a16="http://schemas.microsoft.com/office/drawing/2014/main" id="{8E5B1D54-1094-4686-BC95-DBCD0F28B916}"/>
            </a:ext>
          </a:extLst>
        </xdr:cNvPr>
        <xdr:cNvSpPr>
          <a:spLocks noChangeArrowheads="1"/>
        </xdr:cNvSpPr>
      </xdr:nvSpPr>
      <xdr:spPr bwMode="auto">
        <a:xfrm>
          <a:off x="18332450" y="2355850"/>
          <a:ext cx="0" cy="280338"/>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39" dataDxfId="238">
  <autoFilter ref="B209:C219" xr:uid="{00000000-0009-0000-0100-000001000000}"/>
  <tableColumns count="2">
    <tableColumn id="1" xr3:uid="{00000000-0010-0000-0000-000001000000}" name="Criterios" dataDxfId="237"/>
    <tableColumn id="2" xr3:uid="{00000000-0010-0000-0000-000002000000}" name="Subcriterios" dataDxfId="23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4" zoomScale="110" zoomScaleNormal="110" workbookViewId="0">
      <selection activeCell="B12" sqref="B12:H12"/>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06" t="s">
        <v>0</v>
      </c>
      <c r="C12" s="207"/>
      <c r="D12" s="207"/>
      <c r="E12" s="207"/>
      <c r="F12" s="207"/>
      <c r="G12" s="207"/>
      <c r="H12" s="208"/>
    </row>
    <row r="13" spans="2:8" ht="11.1" customHeight="1" x14ac:dyDescent="0.25">
      <c r="B13" s="84"/>
      <c r="C13" s="85"/>
      <c r="D13" s="85"/>
      <c r="E13" s="85"/>
      <c r="F13" s="85"/>
      <c r="G13" s="85"/>
      <c r="H13" s="86"/>
    </row>
    <row r="14" spans="2:8" ht="29.1" hidden="1" customHeight="1" x14ac:dyDescent="0.25">
      <c r="B14" s="209" t="s">
        <v>210</v>
      </c>
      <c r="C14" s="210"/>
      <c r="D14" s="210"/>
      <c r="E14" s="210"/>
      <c r="F14" s="210"/>
      <c r="G14" s="210"/>
      <c r="H14" s="211"/>
    </row>
    <row r="15" spans="2:8" ht="63" hidden="1" customHeight="1" x14ac:dyDescent="0.25">
      <c r="B15" s="212"/>
      <c r="C15" s="213"/>
      <c r="D15" s="213"/>
      <c r="E15" s="213"/>
      <c r="F15" s="213"/>
      <c r="G15" s="213"/>
      <c r="H15" s="214"/>
    </row>
    <row r="16" spans="2:8" ht="16.5" x14ac:dyDescent="0.25">
      <c r="B16" s="215" t="s">
        <v>1</v>
      </c>
      <c r="C16" s="216"/>
      <c r="D16" s="216"/>
      <c r="E16" s="216"/>
      <c r="F16" s="216"/>
      <c r="G16" s="216"/>
      <c r="H16" s="217"/>
    </row>
    <row r="17" spans="2:8" ht="95.25" customHeight="1" x14ac:dyDescent="0.25">
      <c r="B17" s="225" t="s">
        <v>2</v>
      </c>
      <c r="C17" s="226"/>
      <c r="D17" s="226"/>
      <c r="E17" s="226"/>
      <c r="F17" s="226"/>
      <c r="G17" s="226"/>
      <c r="H17" s="227"/>
    </row>
    <row r="18" spans="2:8" ht="16.5" x14ac:dyDescent="0.25">
      <c r="B18" s="120"/>
      <c r="C18" s="121"/>
      <c r="D18" s="121"/>
      <c r="E18" s="121"/>
      <c r="F18" s="121"/>
      <c r="G18" s="121"/>
      <c r="H18" s="122"/>
    </row>
    <row r="19" spans="2:8" ht="16.5" customHeight="1" x14ac:dyDescent="0.25">
      <c r="B19" s="218" t="s">
        <v>218</v>
      </c>
      <c r="C19" s="219"/>
      <c r="D19" s="219"/>
      <c r="E19" s="219"/>
      <c r="F19" s="219"/>
      <c r="G19" s="219"/>
      <c r="H19" s="220"/>
    </row>
    <row r="20" spans="2:8" ht="44.25" customHeight="1" x14ac:dyDescent="0.25">
      <c r="B20" s="218"/>
      <c r="C20" s="219"/>
      <c r="D20" s="219"/>
      <c r="E20" s="219"/>
      <c r="F20" s="219"/>
      <c r="G20" s="219"/>
      <c r="H20" s="220"/>
    </row>
    <row r="21" spans="2:8" ht="15.75" thickBot="1" x14ac:dyDescent="0.3">
      <c r="B21" s="109"/>
      <c r="C21" s="112"/>
      <c r="D21" s="117"/>
      <c r="E21" s="118"/>
      <c r="F21" s="118"/>
      <c r="G21" s="119"/>
      <c r="H21" s="113"/>
    </row>
    <row r="22" spans="2:8" ht="15.75" thickTop="1" x14ac:dyDescent="0.25">
      <c r="B22" s="109"/>
      <c r="C22" s="221" t="s">
        <v>3</v>
      </c>
      <c r="D22" s="222"/>
      <c r="E22" s="223" t="s">
        <v>4</v>
      </c>
      <c r="F22" s="224"/>
      <c r="G22" s="112"/>
      <c r="H22" s="113"/>
    </row>
    <row r="23" spans="2:8" ht="35.25" customHeight="1" x14ac:dyDescent="0.25">
      <c r="B23" s="109"/>
      <c r="C23" s="228" t="s">
        <v>5</v>
      </c>
      <c r="D23" s="229"/>
      <c r="E23" s="230" t="s">
        <v>6</v>
      </c>
      <c r="F23" s="231"/>
      <c r="G23" s="112"/>
      <c r="H23" s="113"/>
    </row>
    <row r="24" spans="2:8" ht="17.25" customHeight="1" x14ac:dyDescent="0.25">
      <c r="B24" s="109"/>
      <c r="C24" s="228" t="s">
        <v>7</v>
      </c>
      <c r="D24" s="229"/>
      <c r="E24" s="230" t="s">
        <v>8</v>
      </c>
      <c r="F24" s="231"/>
      <c r="G24" s="112"/>
      <c r="H24" s="113"/>
    </row>
    <row r="25" spans="2:8" ht="19.5" customHeight="1" x14ac:dyDescent="0.25">
      <c r="B25" s="109"/>
      <c r="C25" s="228" t="s">
        <v>9</v>
      </c>
      <c r="D25" s="229"/>
      <c r="E25" s="230" t="s">
        <v>10</v>
      </c>
      <c r="F25" s="231"/>
      <c r="G25" s="112"/>
      <c r="H25" s="113"/>
    </row>
    <row r="26" spans="2:8" ht="69.75" customHeight="1" x14ac:dyDescent="0.25">
      <c r="B26" s="109"/>
      <c r="C26" s="228" t="s">
        <v>11</v>
      </c>
      <c r="D26" s="229"/>
      <c r="E26" s="230" t="s">
        <v>12</v>
      </c>
      <c r="F26" s="231"/>
      <c r="G26" s="112"/>
      <c r="H26" s="113"/>
    </row>
    <row r="27" spans="2:8" ht="34.5" customHeight="1" x14ac:dyDescent="0.25">
      <c r="B27" s="109"/>
      <c r="C27" s="232" t="s">
        <v>13</v>
      </c>
      <c r="D27" s="233"/>
      <c r="E27" s="234" t="s">
        <v>14</v>
      </c>
      <c r="F27" s="235"/>
      <c r="G27" s="112"/>
      <c r="H27" s="113"/>
    </row>
    <row r="28" spans="2:8" ht="27.75" customHeight="1" x14ac:dyDescent="0.25">
      <c r="B28" s="109"/>
      <c r="C28" s="232" t="s">
        <v>15</v>
      </c>
      <c r="D28" s="233"/>
      <c r="E28" s="234" t="s">
        <v>16</v>
      </c>
      <c r="F28" s="235"/>
      <c r="G28" s="112"/>
      <c r="H28" s="113"/>
    </row>
    <row r="29" spans="2:8" ht="28.5" customHeight="1" x14ac:dyDescent="0.25">
      <c r="B29" s="109"/>
      <c r="C29" s="232" t="s">
        <v>17</v>
      </c>
      <c r="D29" s="233"/>
      <c r="E29" s="234" t="s">
        <v>18</v>
      </c>
      <c r="F29" s="235"/>
      <c r="G29" s="112"/>
      <c r="H29" s="113"/>
    </row>
    <row r="30" spans="2:8" ht="72.75" customHeight="1" x14ac:dyDescent="0.25">
      <c r="B30" s="109"/>
      <c r="C30" s="232" t="s">
        <v>19</v>
      </c>
      <c r="D30" s="233"/>
      <c r="E30" s="234" t="s">
        <v>20</v>
      </c>
      <c r="F30" s="235"/>
      <c r="G30" s="112"/>
      <c r="H30" s="113"/>
    </row>
    <row r="31" spans="2:8" ht="64.5" customHeight="1" x14ac:dyDescent="0.25">
      <c r="B31" s="109"/>
      <c r="C31" s="232" t="s">
        <v>21</v>
      </c>
      <c r="D31" s="233"/>
      <c r="E31" s="234" t="s">
        <v>22</v>
      </c>
      <c r="F31" s="235"/>
      <c r="G31" s="112"/>
      <c r="H31" s="113"/>
    </row>
    <row r="32" spans="2:8" ht="71.25" customHeight="1" x14ac:dyDescent="0.25">
      <c r="B32" s="109"/>
      <c r="C32" s="232" t="s">
        <v>23</v>
      </c>
      <c r="D32" s="233"/>
      <c r="E32" s="234" t="s">
        <v>24</v>
      </c>
      <c r="F32" s="235"/>
      <c r="G32" s="112"/>
      <c r="H32" s="113"/>
    </row>
    <row r="33" spans="2:8" ht="55.5" customHeight="1" x14ac:dyDescent="0.25">
      <c r="B33" s="109"/>
      <c r="C33" s="239" t="s">
        <v>25</v>
      </c>
      <c r="D33" s="240"/>
      <c r="E33" s="234" t="s">
        <v>26</v>
      </c>
      <c r="F33" s="235"/>
      <c r="G33" s="112"/>
      <c r="H33" s="113"/>
    </row>
    <row r="34" spans="2:8" ht="42" customHeight="1" x14ac:dyDescent="0.25">
      <c r="B34" s="109"/>
      <c r="C34" s="239" t="s">
        <v>27</v>
      </c>
      <c r="D34" s="240"/>
      <c r="E34" s="234" t="s">
        <v>28</v>
      </c>
      <c r="F34" s="235"/>
      <c r="G34" s="112"/>
      <c r="H34" s="113"/>
    </row>
    <row r="35" spans="2:8" ht="59.25" customHeight="1" x14ac:dyDescent="0.25">
      <c r="B35" s="109"/>
      <c r="C35" s="239" t="s">
        <v>29</v>
      </c>
      <c r="D35" s="240"/>
      <c r="E35" s="234" t="s">
        <v>30</v>
      </c>
      <c r="F35" s="235"/>
      <c r="G35" s="112"/>
      <c r="H35" s="113"/>
    </row>
    <row r="36" spans="2:8" ht="23.25" customHeight="1" x14ac:dyDescent="0.25">
      <c r="B36" s="109"/>
      <c r="C36" s="239" t="s">
        <v>31</v>
      </c>
      <c r="D36" s="240"/>
      <c r="E36" s="234" t="s">
        <v>32</v>
      </c>
      <c r="F36" s="235"/>
      <c r="G36" s="112"/>
      <c r="H36" s="113"/>
    </row>
    <row r="37" spans="2:8" ht="30.75" customHeight="1" x14ac:dyDescent="0.25">
      <c r="B37" s="109"/>
      <c r="C37" s="239" t="s">
        <v>33</v>
      </c>
      <c r="D37" s="240"/>
      <c r="E37" s="234" t="s">
        <v>34</v>
      </c>
      <c r="F37" s="235"/>
      <c r="G37" s="112"/>
      <c r="H37" s="113"/>
    </row>
    <row r="38" spans="2:8" ht="35.25" customHeight="1" x14ac:dyDescent="0.25">
      <c r="B38" s="109"/>
      <c r="C38" s="239" t="s">
        <v>35</v>
      </c>
      <c r="D38" s="240"/>
      <c r="E38" s="234" t="s">
        <v>36</v>
      </c>
      <c r="F38" s="235"/>
      <c r="G38" s="112"/>
      <c r="H38" s="113"/>
    </row>
    <row r="39" spans="2:8" ht="33" customHeight="1" x14ac:dyDescent="0.25">
      <c r="B39" s="109"/>
      <c r="C39" s="239" t="s">
        <v>35</v>
      </c>
      <c r="D39" s="240"/>
      <c r="E39" s="234" t="s">
        <v>36</v>
      </c>
      <c r="F39" s="235"/>
      <c r="G39" s="112"/>
      <c r="H39" s="113"/>
    </row>
    <row r="40" spans="2:8" ht="30" customHeight="1" x14ac:dyDescent="0.25">
      <c r="B40" s="109"/>
      <c r="C40" s="239" t="s">
        <v>37</v>
      </c>
      <c r="D40" s="240"/>
      <c r="E40" s="234" t="s">
        <v>38</v>
      </c>
      <c r="F40" s="235"/>
      <c r="G40" s="112"/>
      <c r="H40" s="113"/>
    </row>
    <row r="41" spans="2:8" ht="35.25" customHeight="1" x14ac:dyDescent="0.25">
      <c r="B41" s="109"/>
      <c r="C41" s="239" t="s">
        <v>39</v>
      </c>
      <c r="D41" s="240"/>
      <c r="E41" s="234" t="s">
        <v>40</v>
      </c>
      <c r="F41" s="235"/>
      <c r="G41" s="112"/>
      <c r="H41" s="113"/>
    </row>
    <row r="42" spans="2:8" ht="31.5" customHeight="1" x14ac:dyDescent="0.25">
      <c r="B42" s="109"/>
      <c r="C42" s="239" t="s">
        <v>41</v>
      </c>
      <c r="D42" s="240"/>
      <c r="E42" s="234" t="s">
        <v>42</v>
      </c>
      <c r="F42" s="235"/>
      <c r="G42" s="112"/>
      <c r="H42" s="113"/>
    </row>
    <row r="43" spans="2:8" ht="35.25" customHeight="1" x14ac:dyDescent="0.25">
      <c r="B43" s="109"/>
      <c r="C43" s="239" t="s">
        <v>43</v>
      </c>
      <c r="D43" s="240"/>
      <c r="E43" s="234" t="s">
        <v>44</v>
      </c>
      <c r="F43" s="235"/>
      <c r="G43" s="112"/>
      <c r="H43" s="113"/>
    </row>
    <row r="44" spans="2:8" ht="59.25" customHeight="1" x14ac:dyDescent="0.25">
      <c r="B44" s="109"/>
      <c r="C44" s="239" t="s">
        <v>45</v>
      </c>
      <c r="D44" s="240"/>
      <c r="E44" s="234" t="s">
        <v>46</v>
      </c>
      <c r="F44" s="235"/>
      <c r="G44" s="112"/>
      <c r="H44" s="113"/>
    </row>
    <row r="45" spans="2:8" ht="29.25" customHeight="1" x14ac:dyDescent="0.25">
      <c r="B45" s="109"/>
      <c r="C45" s="239" t="s">
        <v>47</v>
      </c>
      <c r="D45" s="240"/>
      <c r="E45" s="234" t="s">
        <v>48</v>
      </c>
      <c r="F45" s="235"/>
      <c r="G45" s="112"/>
      <c r="H45" s="113"/>
    </row>
    <row r="46" spans="2:8" ht="82.5" customHeight="1" x14ac:dyDescent="0.25">
      <c r="B46" s="109"/>
      <c r="C46" s="239" t="s">
        <v>49</v>
      </c>
      <c r="D46" s="240"/>
      <c r="E46" s="234" t="s">
        <v>50</v>
      </c>
      <c r="F46" s="235"/>
      <c r="G46" s="112"/>
      <c r="H46" s="113"/>
    </row>
    <row r="47" spans="2:8" ht="46.5" customHeight="1" x14ac:dyDescent="0.25">
      <c r="B47" s="109"/>
      <c r="C47" s="239" t="s">
        <v>51</v>
      </c>
      <c r="D47" s="240"/>
      <c r="E47" s="234" t="s">
        <v>52</v>
      </c>
      <c r="F47" s="235"/>
      <c r="G47" s="112"/>
      <c r="H47" s="113"/>
    </row>
    <row r="48" spans="2:8" ht="6.75" customHeight="1" thickBot="1" x14ac:dyDescent="0.3">
      <c r="B48" s="109"/>
      <c r="C48" s="241"/>
      <c r="D48" s="242"/>
      <c r="E48" s="243"/>
      <c r="F48" s="244"/>
      <c r="G48" s="112"/>
      <c r="H48" s="113"/>
    </row>
    <row r="49" spans="2:8" ht="15.75" thickTop="1" x14ac:dyDescent="0.25">
      <c r="B49" s="109"/>
      <c r="C49" s="110"/>
      <c r="D49" s="110"/>
      <c r="E49" s="111"/>
      <c r="F49" s="111"/>
      <c r="G49" s="112"/>
      <c r="H49" s="113"/>
    </row>
    <row r="50" spans="2:8" ht="21" customHeight="1" x14ac:dyDescent="0.25">
      <c r="B50" s="236" t="s">
        <v>53</v>
      </c>
      <c r="C50" s="237"/>
      <c r="D50" s="237"/>
      <c r="E50" s="237"/>
      <c r="F50" s="237"/>
      <c r="G50" s="237"/>
      <c r="H50" s="238"/>
    </row>
    <row r="51" spans="2:8" ht="20.25" customHeight="1" x14ac:dyDescent="0.25">
      <c r="B51" s="236" t="s">
        <v>54</v>
      </c>
      <c r="C51" s="237"/>
      <c r="D51" s="237"/>
      <c r="E51" s="237"/>
      <c r="F51" s="237"/>
      <c r="G51" s="237"/>
      <c r="H51" s="238"/>
    </row>
    <row r="52" spans="2:8" ht="20.25" customHeight="1" x14ac:dyDescent="0.25">
      <c r="B52" s="236" t="s">
        <v>55</v>
      </c>
      <c r="C52" s="237"/>
      <c r="D52" s="237"/>
      <c r="E52" s="237"/>
      <c r="F52" s="237"/>
      <c r="G52" s="237"/>
      <c r="H52" s="238"/>
    </row>
    <row r="53" spans="2:8" ht="20.25" customHeight="1" x14ac:dyDescent="0.25">
      <c r="B53" s="236" t="s">
        <v>56</v>
      </c>
      <c r="C53" s="237"/>
      <c r="D53" s="237"/>
      <c r="E53" s="237"/>
      <c r="F53" s="237"/>
      <c r="G53" s="237"/>
      <c r="H53" s="238"/>
    </row>
    <row r="54" spans="2:8" x14ac:dyDescent="0.25">
      <c r="B54" s="236" t="s">
        <v>57</v>
      </c>
      <c r="C54" s="237"/>
      <c r="D54" s="237"/>
      <c r="E54" s="237"/>
      <c r="F54" s="237"/>
      <c r="G54" s="237"/>
      <c r="H54" s="238"/>
    </row>
    <row r="55" spans="2:8" ht="15.75" thickBot="1" x14ac:dyDescent="0.3">
      <c r="B55" s="114"/>
      <c r="C55" s="115"/>
      <c r="D55" s="115"/>
      <c r="E55" s="115"/>
      <c r="F55" s="115"/>
      <c r="G55" s="115"/>
      <c r="H55" s="116"/>
    </row>
  </sheetData>
  <mergeCells count="64">
    <mergeCell ref="E38:F38"/>
    <mergeCell ref="C38:D38"/>
    <mergeCell ref="C26:D26"/>
    <mergeCell ref="E26:F26"/>
    <mergeCell ref="C24:D24"/>
    <mergeCell ref="E24:F24"/>
    <mergeCell ref="C25:D25"/>
    <mergeCell ref="E25:F25"/>
    <mergeCell ref="E32:F32"/>
    <mergeCell ref="C32:D32"/>
    <mergeCell ref="C35:D35"/>
    <mergeCell ref="E35:F35"/>
    <mergeCell ref="B51:H51"/>
    <mergeCell ref="C48:D48"/>
    <mergeCell ref="E48:F48"/>
    <mergeCell ref="C47:D47"/>
    <mergeCell ref="E47:F47"/>
    <mergeCell ref="C43:D43"/>
    <mergeCell ref="B50:H50"/>
    <mergeCell ref="C39:D39"/>
    <mergeCell ref="E39:F39"/>
    <mergeCell ref="C40:D40"/>
    <mergeCell ref="E40:F40"/>
    <mergeCell ref="E43:F43"/>
    <mergeCell ref="C44:D44"/>
    <mergeCell ref="C45:D45"/>
    <mergeCell ref="E45:F45"/>
    <mergeCell ref="C46:D46"/>
    <mergeCell ref="E46:F46"/>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23:D23"/>
    <mergeCell ref="E23:F23"/>
    <mergeCell ref="C27:D27"/>
    <mergeCell ref="E27:F27"/>
    <mergeCell ref="C31:D31"/>
    <mergeCell ref="C28:D28"/>
    <mergeCell ref="C29:D29"/>
    <mergeCell ref="C30:D30"/>
    <mergeCell ref="E28:F28"/>
    <mergeCell ref="E29:F29"/>
    <mergeCell ref="E30:F30"/>
    <mergeCell ref="E31:F31"/>
    <mergeCell ref="B12:H12"/>
    <mergeCell ref="B14:H15"/>
    <mergeCell ref="B16:H16"/>
    <mergeCell ref="B19:H20"/>
    <mergeCell ref="C22:D22"/>
    <mergeCell ref="E22:F22"/>
    <mergeCell ref="B17:H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492" t="s">
        <v>159</v>
      </c>
      <c r="C1" s="493"/>
      <c r="D1" s="493"/>
      <c r="E1" s="493"/>
      <c r="F1" s="494"/>
    </row>
    <row r="2" spans="2:6" ht="16.5" thickBot="1" x14ac:dyDescent="0.3">
      <c r="B2" s="89"/>
      <c r="C2" s="89"/>
      <c r="D2" s="89"/>
      <c r="E2" s="89"/>
      <c r="F2" s="89"/>
    </row>
    <row r="3" spans="2:6" ht="16.5" thickBot="1" x14ac:dyDescent="0.25">
      <c r="B3" s="496" t="s">
        <v>160</v>
      </c>
      <c r="C3" s="497"/>
      <c r="D3" s="497"/>
      <c r="E3" s="101" t="s">
        <v>161</v>
      </c>
      <c r="F3" s="102" t="s">
        <v>162</v>
      </c>
    </row>
    <row r="4" spans="2:6" ht="31.5" x14ac:dyDescent="0.2">
      <c r="B4" s="498" t="s">
        <v>163</v>
      </c>
      <c r="C4" s="500" t="s">
        <v>83</v>
      </c>
      <c r="D4" s="90" t="s">
        <v>164</v>
      </c>
      <c r="E4" s="91" t="s">
        <v>165</v>
      </c>
      <c r="F4" s="92">
        <v>0.25</v>
      </c>
    </row>
    <row r="5" spans="2:6" ht="47.25" x14ac:dyDescent="0.2">
      <c r="B5" s="499"/>
      <c r="C5" s="501"/>
      <c r="D5" s="93" t="s">
        <v>166</v>
      </c>
      <c r="E5" s="94" t="s">
        <v>167</v>
      </c>
      <c r="F5" s="95">
        <v>0.15</v>
      </c>
    </row>
    <row r="6" spans="2:6" ht="47.25" x14ac:dyDescent="0.2">
      <c r="B6" s="499"/>
      <c r="C6" s="501"/>
      <c r="D6" s="93" t="s">
        <v>168</v>
      </c>
      <c r="E6" s="94" t="s">
        <v>169</v>
      </c>
      <c r="F6" s="95">
        <v>0.1</v>
      </c>
    </row>
    <row r="7" spans="2:6" ht="63" x14ac:dyDescent="0.2">
      <c r="B7" s="499"/>
      <c r="C7" s="501" t="s">
        <v>84</v>
      </c>
      <c r="D7" s="93" t="s">
        <v>170</v>
      </c>
      <c r="E7" s="94" t="s">
        <v>171</v>
      </c>
      <c r="F7" s="95">
        <v>0.25</v>
      </c>
    </row>
    <row r="8" spans="2:6" ht="31.5" x14ac:dyDescent="0.2">
      <c r="B8" s="499"/>
      <c r="C8" s="501"/>
      <c r="D8" s="93" t="s">
        <v>172</v>
      </c>
      <c r="E8" s="94" t="s">
        <v>173</v>
      </c>
      <c r="F8" s="95">
        <v>0.15</v>
      </c>
    </row>
    <row r="9" spans="2:6" ht="47.25" x14ac:dyDescent="0.2">
      <c r="B9" s="499" t="s">
        <v>174</v>
      </c>
      <c r="C9" s="501" t="s">
        <v>86</v>
      </c>
      <c r="D9" s="93" t="s">
        <v>175</v>
      </c>
      <c r="E9" s="94" t="s">
        <v>176</v>
      </c>
      <c r="F9" s="96" t="s">
        <v>177</v>
      </c>
    </row>
    <row r="10" spans="2:6" ht="63" x14ac:dyDescent="0.2">
      <c r="B10" s="499"/>
      <c r="C10" s="501"/>
      <c r="D10" s="93" t="s">
        <v>178</v>
      </c>
      <c r="E10" s="94" t="s">
        <v>179</v>
      </c>
      <c r="F10" s="96" t="s">
        <v>177</v>
      </c>
    </row>
    <row r="11" spans="2:6" ht="47.25" x14ac:dyDescent="0.2">
      <c r="B11" s="499"/>
      <c r="C11" s="501" t="s">
        <v>87</v>
      </c>
      <c r="D11" s="93" t="s">
        <v>180</v>
      </c>
      <c r="E11" s="94" t="s">
        <v>181</v>
      </c>
      <c r="F11" s="96" t="s">
        <v>177</v>
      </c>
    </row>
    <row r="12" spans="2:6" ht="47.25" x14ac:dyDescent="0.2">
      <c r="B12" s="499"/>
      <c r="C12" s="501"/>
      <c r="D12" s="93" t="s">
        <v>182</v>
      </c>
      <c r="E12" s="94" t="s">
        <v>183</v>
      </c>
      <c r="F12" s="96" t="s">
        <v>177</v>
      </c>
    </row>
    <row r="13" spans="2:6" ht="31.5" x14ac:dyDescent="0.2">
      <c r="B13" s="499"/>
      <c r="C13" s="501" t="s">
        <v>88</v>
      </c>
      <c r="D13" s="93" t="s">
        <v>184</v>
      </c>
      <c r="E13" s="94" t="s">
        <v>185</v>
      </c>
      <c r="F13" s="96" t="s">
        <v>177</v>
      </c>
    </row>
    <row r="14" spans="2:6" ht="32.25" thickBot="1" x14ac:dyDescent="0.25">
      <c r="B14" s="502"/>
      <c r="C14" s="503"/>
      <c r="D14" s="97" t="s">
        <v>186</v>
      </c>
      <c r="E14" s="98" t="s">
        <v>187</v>
      </c>
      <c r="F14" s="99" t="s">
        <v>177</v>
      </c>
    </row>
    <row r="15" spans="2:6" ht="49.5" customHeight="1" x14ac:dyDescent="0.2">
      <c r="B15" s="495" t="s">
        <v>188</v>
      </c>
      <c r="C15" s="495"/>
      <c r="D15" s="495"/>
      <c r="E15" s="495"/>
      <c r="F15" s="495"/>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164</v>
      </c>
    </row>
    <row r="4" spans="1:1" x14ac:dyDescent="0.2">
      <c r="A4" s="10" t="s">
        <v>166</v>
      </c>
    </row>
    <row r="5" spans="1:1" x14ac:dyDescent="0.2">
      <c r="A5" s="10" t="s">
        <v>168</v>
      </c>
    </row>
    <row r="6" spans="1:1" x14ac:dyDescent="0.2">
      <c r="A6" s="10" t="s">
        <v>170</v>
      </c>
    </row>
    <row r="7" spans="1:1" x14ac:dyDescent="0.2">
      <c r="A7" s="10" t="s">
        <v>172</v>
      </c>
    </row>
    <row r="8" spans="1:1" x14ac:dyDescent="0.2">
      <c r="A8" s="10" t="s">
        <v>175</v>
      </c>
    </row>
    <row r="9" spans="1:1" x14ac:dyDescent="0.2">
      <c r="A9" s="10" t="s">
        <v>178</v>
      </c>
    </row>
    <row r="10" spans="1:1" x14ac:dyDescent="0.2">
      <c r="A10" s="10" t="s">
        <v>180</v>
      </c>
    </row>
    <row r="11" spans="1:1" x14ac:dyDescent="0.2">
      <c r="A11" s="10" t="s">
        <v>182</v>
      </c>
    </row>
    <row r="12" spans="1:1" x14ac:dyDescent="0.2">
      <c r="A12" s="10" t="s">
        <v>206</v>
      </c>
    </row>
    <row r="13" spans="1:1" x14ac:dyDescent="0.2">
      <c r="A13" s="10" t="s">
        <v>207</v>
      </c>
    </row>
    <row r="14" spans="1:1" x14ac:dyDescent="0.2">
      <c r="A14" s="10" t="s">
        <v>208</v>
      </c>
    </row>
    <row r="16" spans="1:1" x14ac:dyDescent="0.2">
      <c r="A16" s="10" t="s">
        <v>209</v>
      </c>
    </row>
    <row r="17" spans="1:1" x14ac:dyDescent="0.2">
      <c r="A17" s="10" t="s">
        <v>189</v>
      </c>
    </row>
    <row r="18" spans="1:1" x14ac:dyDescent="0.2">
      <c r="A18" s="10" t="s">
        <v>191</v>
      </c>
    </row>
    <row r="20" spans="1:1" x14ac:dyDescent="0.2">
      <c r="A20" s="10" t="s">
        <v>197</v>
      </c>
    </row>
    <row r="21" spans="1:1" x14ac:dyDescent="0.2">
      <c r="A21" s="10"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dimension ref="B4:D23"/>
  <sheetViews>
    <sheetView showGridLines="0" topLeftCell="A4" workbookViewId="0">
      <selection activeCell="D19" sqref="D19"/>
    </sheetView>
  </sheetViews>
  <sheetFormatPr baseColWidth="10" defaultRowHeight="15" x14ac:dyDescent="0.25"/>
  <cols>
    <col min="3" max="3" width="46.42578125" customWidth="1"/>
    <col min="4" max="4" width="58" customWidth="1"/>
  </cols>
  <sheetData>
    <row r="4" spans="2:4" ht="52.5" customHeight="1" x14ac:dyDescent="0.25">
      <c r="B4" s="245" t="s">
        <v>211</v>
      </c>
      <c r="C4" s="245"/>
      <c r="D4" s="245"/>
    </row>
    <row r="5" spans="2:4" ht="6.75" customHeight="1" x14ac:dyDescent="0.25">
      <c r="D5" s="137"/>
    </row>
    <row r="6" spans="2:4" ht="15" customHeight="1" x14ac:dyDescent="0.25">
      <c r="B6" s="246" t="s">
        <v>212</v>
      </c>
      <c r="C6" s="138" t="s">
        <v>213</v>
      </c>
      <c r="D6" s="138" t="s">
        <v>214</v>
      </c>
    </row>
    <row r="7" spans="2:4" ht="40.5" customHeight="1" x14ac:dyDescent="0.25">
      <c r="B7" s="247"/>
      <c r="C7" s="504" t="s">
        <v>289</v>
      </c>
      <c r="D7" s="505" t="s">
        <v>290</v>
      </c>
    </row>
    <row r="8" spans="2:4" ht="20.25" x14ac:dyDescent="0.25">
      <c r="B8" s="247"/>
      <c r="C8" s="504" t="s">
        <v>291</v>
      </c>
      <c r="D8" s="506"/>
    </row>
    <row r="9" spans="2:4" ht="15" customHeight="1" x14ac:dyDescent="0.25">
      <c r="B9" s="247"/>
      <c r="C9" s="507" t="s">
        <v>292</v>
      </c>
      <c r="D9" s="505" t="s">
        <v>293</v>
      </c>
    </row>
    <row r="10" spans="2:4" ht="54.75" customHeight="1" x14ac:dyDescent="0.25">
      <c r="B10" s="247"/>
      <c r="C10" s="508"/>
      <c r="D10" s="506"/>
    </row>
    <row r="11" spans="2:4" ht="60.75" x14ac:dyDescent="0.25">
      <c r="B11" s="247"/>
      <c r="C11" s="509"/>
      <c r="D11" s="510" t="s">
        <v>294</v>
      </c>
    </row>
    <row r="12" spans="2:4" ht="101.25" x14ac:dyDescent="0.25">
      <c r="B12" s="247"/>
      <c r="C12" s="511" t="s">
        <v>295</v>
      </c>
      <c r="D12" s="510" t="s">
        <v>296</v>
      </c>
    </row>
    <row r="13" spans="2:4" ht="15" customHeight="1" x14ac:dyDescent="0.25">
      <c r="B13" s="247"/>
      <c r="C13" s="508" t="s">
        <v>297</v>
      </c>
      <c r="D13" s="505" t="s">
        <v>298</v>
      </c>
    </row>
    <row r="14" spans="2:4" ht="15" customHeight="1" x14ac:dyDescent="0.25">
      <c r="B14" s="247"/>
      <c r="C14" s="508"/>
      <c r="D14" s="506"/>
    </row>
    <row r="15" spans="2:4" ht="40.5" x14ac:dyDescent="0.25">
      <c r="B15" s="247"/>
      <c r="C15" s="509"/>
      <c r="D15" s="510" t="s">
        <v>299</v>
      </c>
    </row>
    <row r="16" spans="2:4" ht="60.75" x14ac:dyDescent="0.25">
      <c r="B16" s="247"/>
      <c r="C16" s="511" t="s">
        <v>300</v>
      </c>
      <c r="D16" s="510" t="s">
        <v>301</v>
      </c>
    </row>
    <row r="17" spans="2:4" ht="15.75" x14ac:dyDescent="0.25">
      <c r="B17" s="513"/>
      <c r="C17" s="138" t="s">
        <v>216</v>
      </c>
      <c r="D17" s="138" t="s">
        <v>217</v>
      </c>
    </row>
    <row r="18" spans="2:4" ht="60.75" x14ac:dyDescent="0.25">
      <c r="B18" s="247" t="s">
        <v>215</v>
      </c>
      <c r="C18" s="504" t="s">
        <v>302</v>
      </c>
      <c r="D18" s="504" t="s">
        <v>303</v>
      </c>
    </row>
    <row r="19" spans="2:4" ht="75" customHeight="1" x14ac:dyDescent="0.25">
      <c r="B19" s="247"/>
      <c r="C19" s="504" t="s">
        <v>304</v>
      </c>
      <c r="D19" s="504" t="s">
        <v>305</v>
      </c>
    </row>
    <row r="20" spans="2:4" ht="60.75" x14ac:dyDescent="0.25">
      <c r="B20" s="247"/>
      <c r="C20" s="504" t="s">
        <v>306</v>
      </c>
      <c r="D20" s="504" t="s">
        <v>307</v>
      </c>
    </row>
    <row r="21" spans="2:4" ht="60.75" x14ac:dyDescent="0.25">
      <c r="B21" s="247"/>
      <c r="C21" s="512" t="s">
        <v>308</v>
      </c>
      <c r="D21" s="504" t="s">
        <v>309</v>
      </c>
    </row>
    <row r="22" spans="2:4" ht="40.5" x14ac:dyDescent="0.25">
      <c r="B22" s="247"/>
      <c r="C22" s="512"/>
      <c r="D22" s="504" t="s">
        <v>310</v>
      </c>
    </row>
    <row r="23" spans="2:4" ht="60.75" x14ac:dyDescent="0.25">
      <c r="B23" s="248"/>
      <c r="C23" s="512"/>
      <c r="D23" s="504" t="s">
        <v>311</v>
      </c>
    </row>
  </sheetData>
  <mergeCells count="9">
    <mergeCell ref="C21:C23"/>
    <mergeCell ref="B6:B16"/>
    <mergeCell ref="B18:B23"/>
    <mergeCell ref="B4:D4"/>
    <mergeCell ref="D7:D8"/>
    <mergeCell ref="C9:C11"/>
    <mergeCell ref="D9:D10"/>
    <mergeCell ref="C13:C15"/>
    <mergeCell ref="D13:D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0"/>
  <sheetViews>
    <sheetView showGridLines="0" tabSelected="1" topLeftCell="A11" zoomScale="80" zoomScaleNormal="80" workbookViewId="0">
      <selection activeCell="C18" sqref="C18:N18"/>
    </sheetView>
  </sheetViews>
  <sheetFormatPr baseColWidth="10" defaultColWidth="11.42578125" defaultRowHeight="16.5" x14ac:dyDescent="0.3"/>
  <cols>
    <col min="1" max="1" width="4" style="2" bestFit="1" customWidth="1"/>
    <col min="2" max="2" width="14.140625" style="2" customWidth="1"/>
    <col min="3" max="3" width="27.85546875" style="2" customWidth="1"/>
    <col min="4" max="4" width="21.7109375" style="2" customWidth="1"/>
    <col min="5" max="5" width="42.710937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1" customWidth="1"/>
    <col min="16" max="16" width="66.1406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68" ht="36.950000000000003" customHeight="1" x14ac:dyDescent="0.3">
      <c r="A1" s="249" t="s">
        <v>229</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141" t="s">
        <v>219</v>
      </c>
      <c r="AG1" s="146" t="s">
        <v>220</v>
      </c>
      <c r="AH1" s="174"/>
      <c r="AI1" s="174"/>
      <c r="AJ1" s="174"/>
      <c r="AK1" s="174"/>
      <c r="AL1" s="139"/>
      <c r="AM1" s="139"/>
      <c r="AN1" s="139"/>
      <c r="AO1" s="139"/>
      <c r="AP1" s="140"/>
      <c r="AQ1" s="140"/>
      <c r="AR1" s="140"/>
      <c r="AS1" s="140"/>
      <c r="AT1" s="140"/>
      <c r="AU1" s="140"/>
      <c r="AV1" s="140"/>
      <c r="AW1" s="140"/>
      <c r="AX1" s="140"/>
      <c r="AY1" s="140"/>
      <c r="AZ1" s="140"/>
    </row>
    <row r="2" spans="1:68" x14ac:dyDescent="0.3">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141" t="s">
        <v>221</v>
      </c>
      <c r="AG2" s="146">
        <v>6</v>
      </c>
      <c r="AH2" s="142"/>
      <c r="AI2" s="143"/>
      <c r="AJ2" s="143"/>
      <c r="AK2" s="144"/>
      <c r="AL2" s="143"/>
      <c r="AM2" s="143"/>
      <c r="AN2" s="140"/>
      <c r="AO2" s="145"/>
      <c r="AP2" s="140"/>
      <c r="AQ2" s="140"/>
      <c r="AR2" s="140"/>
      <c r="AS2" s="140"/>
      <c r="AT2" s="140"/>
      <c r="AU2" s="140"/>
      <c r="AV2" s="140"/>
      <c r="AW2" s="140"/>
      <c r="AX2" s="140"/>
      <c r="AY2" s="140"/>
      <c r="AZ2" s="140"/>
    </row>
    <row r="3" spans="1:68" x14ac:dyDescent="0.3">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141" t="s">
        <v>222</v>
      </c>
      <c r="AG3" s="148" t="s">
        <v>288</v>
      </c>
      <c r="AH3" s="142"/>
      <c r="AI3" s="143"/>
      <c r="AJ3" s="143"/>
      <c r="AK3" s="144"/>
      <c r="AL3" s="143"/>
      <c r="AM3" s="143"/>
      <c r="AN3" s="140"/>
      <c r="AO3" s="145"/>
      <c r="AP3" s="140"/>
      <c r="AQ3" s="140"/>
      <c r="AR3" s="140"/>
      <c r="AS3" s="140"/>
      <c r="AT3" s="140"/>
      <c r="AU3" s="140"/>
      <c r="AV3" s="140"/>
      <c r="AW3" s="140"/>
      <c r="AX3" s="140"/>
      <c r="AY3" s="140"/>
      <c r="AZ3" s="140"/>
    </row>
    <row r="4" spans="1:68" ht="15.95" customHeight="1" x14ac:dyDescent="0.3">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150" t="s">
        <v>223</v>
      </c>
      <c r="AG4" s="205">
        <v>241903</v>
      </c>
      <c r="AH4" s="142"/>
      <c r="AI4" s="143"/>
      <c r="AJ4" s="143"/>
      <c r="AK4" s="144"/>
      <c r="AL4" s="143"/>
      <c r="AM4" s="143"/>
      <c r="AN4" s="140"/>
      <c r="AO4" s="145"/>
      <c r="AP4" s="140"/>
      <c r="AQ4" s="140"/>
      <c r="AR4" s="140"/>
      <c r="AS4" s="140"/>
      <c r="AT4" s="140"/>
      <c r="AU4" s="140"/>
      <c r="AV4" s="140"/>
      <c r="AW4" s="140"/>
      <c r="AX4" s="140"/>
      <c r="AY4" s="140"/>
      <c r="AZ4" s="140"/>
    </row>
    <row r="5" spans="1:68" ht="24" customHeight="1" x14ac:dyDescent="0.3">
      <c r="A5" s="249"/>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H5" s="142"/>
      <c r="AI5" s="143"/>
      <c r="AJ5" s="143"/>
      <c r="AK5" s="144"/>
      <c r="AL5" s="143"/>
      <c r="AM5" s="143"/>
      <c r="AN5" s="140"/>
      <c r="AO5" s="145"/>
      <c r="AP5" s="140"/>
      <c r="AQ5" s="140"/>
      <c r="AR5" s="140"/>
      <c r="AS5" s="140"/>
      <c r="AT5" s="140"/>
      <c r="AU5" s="140"/>
      <c r="AV5" s="140"/>
      <c r="AW5" s="140"/>
      <c r="AX5" s="140"/>
      <c r="AY5" s="140"/>
      <c r="AZ5" s="140"/>
    </row>
    <row r="6" spans="1:68" x14ac:dyDescent="0.3">
      <c r="A6" s="147"/>
      <c r="B6" s="147"/>
      <c r="C6" s="173"/>
      <c r="D6" s="171"/>
      <c r="E6" s="171"/>
      <c r="F6" s="171"/>
      <c r="G6" s="171"/>
      <c r="H6" s="171"/>
      <c r="I6" s="171"/>
      <c r="J6" s="171"/>
      <c r="K6" s="170"/>
      <c r="L6" s="149"/>
      <c r="M6" s="140"/>
      <c r="N6" s="140"/>
      <c r="O6" s="140"/>
      <c r="P6" s="149"/>
      <c r="Q6" s="147"/>
      <c r="R6" s="147"/>
      <c r="S6" s="147"/>
      <c r="T6" s="151"/>
      <c r="U6" s="151"/>
      <c r="V6" s="151"/>
      <c r="W6" s="151"/>
      <c r="X6" s="151"/>
      <c r="Y6" s="151"/>
      <c r="Z6" s="151"/>
      <c r="AA6" s="152"/>
      <c r="AB6" s="152"/>
      <c r="AC6" s="152"/>
      <c r="AD6" s="152"/>
      <c r="AE6" s="152"/>
      <c r="AH6" s="153"/>
      <c r="AI6" s="154"/>
      <c r="AJ6" s="154"/>
      <c r="AK6" s="154"/>
      <c r="AL6" s="154"/>
      <c r="AM6" s="154"/>
      <c r="AN6" s="155"/>
      <c r="AO6" s="155"/>
      <c r="AP6" s="155"/>
      <c r="AQ6" s="155"/>
      <c r="AR6" s="152"/>
      <c r="AS6" s="152"/>
      <c r="AT6" s="152"/>
      <c r="AU6" s="152"/>
      <c r="AV6" s="152"/>
      <c r="AW6" s="152"/>
      <c r="AX6" s="152"/>
      <c r="AY6" s="152"/>
      <c r="AZ6" s="152"/>
    </row>
    <row r="7" spans="1:68" ht="27.95" customHeight="1" x14ac:dyDescent="0.3">
      <c r="A7" s="159"/>
      <c r="B7" s="159"/>
      <c r="C7" s="140"/>
      <c r="D7" s="140"/>
      <c r="E7" s="140"/>
      <c r="F7" s="140"/>
      <c r="G7" s="140"/>
      <c r="H7" s="140"/>
      <c r="I7" s="140"/>
      <c r="J7" s="140"/>
      <c r="L7" s="140"/>
      <c r="M7" s="140"/>
      <c r="N7" s="253" t="s">
        <v>224</v>
      </c>
      <c r="O7" s="253"/>
      <c r="P7" s="253"/>
      <c r="Q7" s="253"/>
      <c r="R7" s="253"/>
      <c r="S7" s="253"/>
      <c r="T7" s="141"/>
      <c r="U7" s="141"/>
      <c r="V7" s="141"/>
      <c r="W7" s="141"/>
      <c r="X7" s="141"/>
      <c r="Y7" s="141"/>
      <c r="Z7" s="141"/>
      <c r="AA7" s="156"/>
      <c r="AB7" s="156"/>
      <c r="AC7" s="156"/>
      <c r="AD7" s="156"/>
      <c r="AE7" s="156"/>
      <c r="AF7" s="156"/>
      <c r="AG7" s="156"/>
      <c r="AH7" s="142"/>
      <c r="AI7" s="143"/>
      <c r="AJ7" s="143"/>
      <c r="AK7" s="143"/>
      <c r="AL7" s="143"/>
      <c r="AM7" s="143"/>
      <c r="AN7" s="157">
        <v>0</v>
      </c>
      <c r="AO7" s="158"/>
      <c r="AP7" s="157"/>
      <c r="AQ7" s="157"/>
      <c r="AR7" s="140"/>
      <c r="AS7" s="140"/>
      <c r="AT7" s="140"/>
      <c r="AU7" s="140"/>
      <c r="AV7" s="140"/>
      <c r="AW7" s="140"/>
      <c r="AX7" s="140"/>
      <c r="AY7" s="140"/>
      <c r="AZ7" s="140"/>
    </row>
    <row r="8" spans="1:68" ht="16.5" customHeight="1" x14ac:dyDescent="0.3">
      <c r="A8" s="159"/>
      <c r="B8" s="159"/>
      <c r="C8" s="140"/>
      <c r="D8" s="140"/>
      <c r="E8" s="140"/>
      <c r="F8" s="140"/>
      <c r="G8" s="140"/>
      <c r="H8" s="140"/>
      <c r="I8" s="140"/>
      <c r="J8" s="140"/>
      <c r="L8" s="140"/>
      <c r="M8" s="140"/>
      <c r="N8" s="172" t="s">
        <v>225</v>
      </c>
      <c r="O8" s="172" t="s">
        <v>226</v>
      </c>
      <c r="P8" s="255" t="s">
        <v>227</v>
      </c>
      <c r="Q8" s="256"/>
      <c r="R8" s="256"/>
      <c r="S8" s="257"/>
      <c r="T8" s="141"/>
      <c r="U8" s="141"/>
      <c r="V8" s="141"/>
      <c r="W8" s="141"/>
      <c r="X8" s="141"/>
      <c r="Y8" s="141"/>
      <c r="Z8" s="141"/>
      <c r="AA8" s="156"/>
      <c r="AB8" s="156"/>
      <c r="AC8" s="156"/>
      <c r="AD8" s="156"/>
      <c r="AE8" s="156"/>
      <c r="AF8" s="156"/>
      <c r="AG8" s="156"/>
      <c r="AH8" s="142"/>
      <c r="AI8" s="143"/>
      <c r="AJ8" s="143"/>
      <c r="AK8" s="143"/>
      <c r="AL8" s="143"/>
      <c r="AM8" s="143"/>
      <c r="AN8" s="157">
        <v>0</v>
      </c>
      <c r="AO8" s="158"/>
      <c r="AP8" s="157"/>
      <c r="AQ8" s="157"/>
      <c r="AR8" s="140"/>
      <c r="AS8" s="140"/>
      <c r="AT8" s="140"/>
      <c r="AU8" s="140"/>
      <c r="AV8" s="140"/>
      <c r="AW8" s="140"/>
      <c r="AX8" s="140"/>
      <c r="AY8" s="140"/>
      <c r="AZ8" s="140"/>
    </row>
    <row r="9" spans="1:68" ht="37.5" customHeight="1" x14ac:dyDescent="0.3">
      <c r="A9" s="159"/>
      <c r="B9" s="159"/>
      <c r="C9" s="140"/>
      <c r="D9" s="140"/>
      <c r="E9" s="140"/>
      <c r="F9" s="140"/>
      <c r="G9" s="140"/>
      <c r="H9" s="140"/>
      <c r="I9" s="140"/>
      <c r="J9" s="140"/>
      <c r="L9" s="140"/>
      <c r="M9" s="140"/>
      <c r="N9" s="514">
        <v>4</v>
      </c>
      <c r="O9" s="515">
        <v>41457</v>
      </c>
      <c r="P9" s="516" t="s">
        <v>312</v>
      </c>
      <c r="Q9" s="517"/>
      <c r="R9" s="517"/>
      <c r="S9" s="518"/>
      <c r="T9" s="141"/>
      <c r="U9" s="141"/>
      <c r="V9" s="141"/>
      <c r="W9" s="254"/>
      <c r="X9" s="254"/>
      <c r="Y9" s="254"/>
      <c r="Z9" s="254"/>
      <c r="AA9" s="254"/>
      <c r="AB9" s="254"/>
      <c r="AC9" s="165"/>
      <c r="AD9" s="165"/>
      <c r="AE9" s="165"/>
      <c r="AF9" s="140"/>
      <c r="AG9" s="140"/>
      <c r="AH9" s="142"/>
      <c r="AI9" s="143"/>
      <c r="AJ9" s="143"/>
      <c r="AK9" s="143"/>
      <c r="AL9" s="143"/>
      <c r="AM9" s="143"/>
      <c r="AN9" s="157">
        <v>0</v>
      </c>
      <c r="AO9" s="158"/>
      <c r="AP9" s="157"/>
      <c r="AQ9" s="157"/>
      <c r="AR9" s="140"/>
      <c r="AS9" s="140"/>
      <c r="AT9" s="140"/>
      <c r="AU9" s="140"/>
      <c r="AV9" s="140"/>
      <c r="AW9" s="140"/>
      <c r="AX9" s="140"/>
      <c r="AY9" s="140"/>
      <c r="AZ9" s="140"/>
    </row>
    <row r="10" spans="1:68" ht="87" customHeight="1" x14ac:dyDescent="0.3">
      <c r="A10" s="159"/>
      <c r="B10" s="159"/>
      <c r="C10" s="140"/>
      <c r="D10" s="140"/>
      <c r="E10" s="140"/>
      <c r="F10" s="140"/>
      <c r="G10" s="140"/>
      <c r="H10" s="140"/>
      <c r="I10" s="140"/>
      <c r="J10" s="140"/>
      <c r="L10" s="140"/>
      <c r="M10" s="140"/>
      <c r="N10" s="514">
        <v>1</v>
      </c>
      <c r="O10" s="515">
        <v>43000</v>
      </c>
      <c r="P10" s="516" t="s">
        <v>313</v>
      </c>
      <c r="Q10" s="517"/>
      <c r="R10" s="517"/>
      <c r="S10" s="518"/>
      <c r="T10" s="141"/>
      <c r="U10" s="141"/>
      <c r="V10" s="141"/>
      <c r="W10" s="204"/>
      <c r="X10" s="204"/>
      <c r="Y10" s="204"/>
      <c r="Z10" s="204"/>
      <c r="AA10" s="204"/>
      <c r="AB10" s="204"/>
      <c r="AC10" s="204"/>
      <c r="AD10" s="204"/>
      <c r="AE10" s="204"/>
      <c r="AF10" s="140"/>
      <c r="AG10" s="140"/>
      <c r="AH10" s="142"/>
      <c r="AI10" s="143"/>
      <c r="AJ10" s="143"/>
      <c r="AK10" s="143"/>
      <c r="AL10" s="143"/>
      <c r="AM10" s="143"/>
      <c r="AN10" s="157"/>
      <c r="AO10" s="158"/>
      <c r="AP10" s="157"/>
      <c r="AQ10" s="157"/>
      <c r="AR10" s="140"/>
      <c r="AS10" s="140"/>
      <c r="AT10" s="140"/>
      <c r="AU10" s="140"/>
      <c r="AV10" s="140"/>
      <c r="AW10" s="140"/>
      <c r="AX10" s="140"/>
      <c r="AY10" s="140"/>
      <c r="AZ10" s="140"/>
    </row>
    <row r="11" spans="1:68" ht="98.25" customHeight="1" x14ac:dyDescent="0.3">
      <c r="A11" s="159"/>
      <c r="B11" s="159"/>
      <c r="C11" s="140"/>
      <c r="D11" s="140"/>
      <c r="E11" s="140"/>
      <c r="F11" s="140"/>
      <c r="G11" s="140"/>
      <c r="H11" s="140"/>
      <c r="I11" s="140"/>
      <c r="J11" s="140"/>
      <c r="L11" s="140"/>
      <c r="M11" s="140"/>
      <c r="N11" s="514">
        <v>2</v>
      </c>
      <c r="O11" s="515">
        <v>43753</v>
      </c>
      <c r="P11" s="516" t="s">
        <v>314</v>
      </c>
      <c r="Q11" s="517"/>
      <c r="R11" s="517"/>
      <c r="S11" s="518"/>
      <c r="T11" s="141"/>
      <c r="U11" s="141"/>
      <c r="V11" s="141"/>
      <c r="W11" s="204"/>
      <c r="X11" s="204"/>
      <c r="Y11" s="204"/>
      <c r="Z11" s="204"/>
      <c r="AA11" s="204"/>
      <c r="AB11" s="204"/>
      <c r="AC11" s="204"/>
      <c r="AD11" s="204"/>
      <c r="AE11" s="204"/>
      <c r="AF11" s="140"/>
      <c r="AG11" s="140"/>
      <c r="AH11" s="142"/>
      <c r="AI11" s="143"/>
      <c r="AJ11" s="143"/>
      <c r="AK11" s="143"/>
      <c r="AL11" s="143"/>
      <c r="AM11" s="143"/>
      <c r="AN11" s="157"/>
      <c r="AO11" s="158"/>
      <c r="AP11" s="157"/>
      <c r="AQ11" s="157"/>
      <c r="AR11" s="140"/>
      <c r="AS11" s="140"/>
      <c r="AT11" s="140"/>
      <c r="AU11" s="140"/>
      <c r="AV11" s="140"/>
      <c r="AW11" s="140"/>
      <c r="AX11" s="140"/>
      <c r="AY11" s="140"/>
      <c r="AZ11" s="140"/>
    </row>
    <row r="12" spans="1:68" ht="63.75" customHeight="1" x14ac:dyDescent="0.3">
      <c r="A12" s="159"/>
      <c r="B12" s="159"/>
      <c r="C12" s="140"/>
      <c r="D12" s="140"/>
      <c r="E12" s="140"/>
      <c r="F12" s="140"/>
      <c r="G12" s="140"/>
      <c r="H12" s="140"/>
      <c r="I12" s="140"/>
      <c r="J12" s="140"/>
      <c r="L12" s="141"/>
      <c r="M12" s="141"/>
      <c r="N12" s="514">
        <v>3</v>
      </c>
      <c r="O12" s="515">
        <v>44204</v>
      </c>
      <c r="P12" s="516" t="s">
        <v>315</v>
      </c>
      <c r="Q12" s="517"/>
      <c r="R12" s="517"/>
      <c r="S12" s="518"/>
      <c r="T12" s="141"/>
      <c r="U12" s="141"/>
      <c r="V12" s="141"/>
      <c r="W12" s="250"/>
      <c r="X12" s="250"/>
      <c r="Y12" s="250"/>
      <c r="Z12" s="250"/>
      <c r="AA12" s="250"/>
      <c r="AB12" s="250"/>
      <c r="AC12" s="166"/>
      <c r="AD12" s="166"/>
      <c r="AE12" s="167"/>
      <c r="AF12" s="140"/>
      <c r="AG12" s="140"/>
      <c r="AH12" s="142"/>
      <c r="AI12" s="143"/>
      <c r="AJ12" s="143"/>
      <c r="AK12" s="143"/>
      <c r="AL12" s="143"/>
      <c r="AM12" s="143"/>
      <c r="AN12" s="157">
        <v>0</v>
      </c>
      <c r="AO12" s="158"/>
      <c r="AP12" s="157"/>
      <c r="AQ12" s="157"/>
      <c r="AR12" s="140"/>
      <c r="AS12" s="140"/>
      <c r="AT12" s="140"/>
      <c r="AU12" s="140"/>
      <c r="AV12" s="140"/>
      <c r="AW12" s="140"/>
      <c r="AX12" s="140"/>
      <c r="AY12" s="140"/>
      <c r="AZ12" s="140"/>
    </row>
    <row r="13" spans="1:68" ht="89.25" customHeight="1" x14ac:dyDescent="0.3">
      <c r="A13" s="159"/>
      <c r="B13" s="159"/>
      <c r="C13" s="159"/>
      <c r="D13" s="159"/>
      <c r="E13" s="159"/>
      <c r="F13" s="140"/>
      <c r="G13" s="140"/>
      <c r="H13" s="140"/>
      <c r="I13" s="161"/>
      <c r="J13" s="161"/>
      <c r="K13" s="141"/>
      <c r="L13" s="141"/>
      <c r="M13" s="141"/>
      <c r="N13" s="514">
        <v>4</v>
      </c>
      <c r="O13" s="519">
        <v>44678</v>
      </c>
      <c r="P13" s="520" t="s">
        <v>316</v>
      </c>
      <c r="Q13" s="521"/>
      <c r="R13" s="521"/>
      <c r="S13" s="522"/>
      <c r="T13" s="141"/>
      <c r="U13" s="141"/>
      <c r="V13" s="141"/>
      <c r="W13" s="251"/>
      <c r="X13" s="251"/>
      <c r="Y13" s="251"/>
      <c r="Z13" s="251"/>
      <c r="AA13" s="251"/>
      <c r="AB13" s="251"/>
      <c r="AC13" s="168"/>
      <c r="AD13" s="168"/>
      <c r="AE13" s="169"/>
      <c r="AF13" s="162"/>
      <c r="AG13" s="156"/>
      <c r="AH13" s="142"/>
      <c r="AI13" s="143"/>
      <c r="AJ13" s="143"/>
      <c r="AK13" s="143"/>
      <c r="AL13" s="143"/>
      <c r="AM13" s="143"/>
      <c r="AN13" s="157">
        <v>0</v>
      </c>
      <c r="AO13" s="158"/>
      <c r="AP13" s="157"/>
      <c r="AQ13" s="157"/>
      <c r="AR13" s="140"/>
      <c r="AS13" s="140"/>
      <c r="AT13" s="140"/>
      <c r="AU13" s="140"/>
      <c r="AV13" s="140"/>
      <c r="AW13" s="140"/>
      <c r="AX13" s="140"/>
      <c r="AY13" s="140"/>
      <c r="AZ13" s="140"/>
    </row>
    <row r="14" spans="1:68" ht="18.75" x14ac:dyDescent="0.3">
      <c r="A14" s="252" t="s">
        <v>228</v>
      </c>
      <c r="B14" s="252"/>
      <c r="C14" s="252"/>
      <c r="D14" s="252"/>
      <c r="E14" s="252"/>
      <c r="F14" s="252"/>
      <c r="G14" s="252"/>
      <c r="H14" s="252"/>
      <c r="I14" s="252"/>
      <c r="J14" s="252"/>
      <c r="K14" s="141"/>
      <c r="L14" s="141"/>
      <c r="M14" s="141"/>
      <c r="N14" s="141"/>
      <c r="O14" s="160"/>
      <c r="P14" s="141"/>
      <c r="Q14" s="141"/>
      <c r="R14" s="141"/>
      <c r="S14" s="141"/>
      <c r="T14" s="141"/>
      <c r="U14" s="141"/>
      <c r="V14" s="141"/>
      <c r="W14" s="156"/>
      <c r="X14" s="156"/>
      <c r="Y14" s="156"/>
      <c r="Z14" s="156"/>
      <c r="AA14" s="156"/>
      <c r="AB14" s="163"/>
      <c r="AC14" s="163"/>
      <c r="AD14" s="163"/>
      <c r="AE14" s="163"/>
      <c r="AF14" s="164"/>
      <c r="AG14" s="164"/>
      <c r="AH14" s="143"/>
      <c r="AI14" s="143"/>
      <c r="AJ14" s="143"/>
      <c r="AK14" s="143"/>
      <c r="AL14" s="143"/>
      <c r="AM14" s="144"/>
      <c r="AN14" s="157"/>
      <c r="AO14" s="157"/>
      <c r="AP14" s="140"/>
      <c r="AQ14" s="140"/>
      <c r="AR14" s="140"/>
      <c r="AS14" s="140"/>
      <c r="AT14" s="140"/>
      <c r="AU14" s="140"/>
      <c r="AV14" s="140"/>
      <c r="AW14" s="140"/>
      <c r="AX14" s="140"/>
      <c r="AY14" s="140"/>
      <c r="AZ14" s="140"/>
    </row>
    <row r="15" spans="1:68" ht="16.5" customHeight="1" x14ac:dyDescent="0.3">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5"/>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24" customHeight="1" x14ac:dyDescent="0.3">
      <c r="A16" s="326"/>
      <c r="B16" s="327"/>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x14ac:dyDescent="0.3">
      <c r="A17" s="28"/>
      <c r="B17" s="29"/>
      <c r="C17" s="28"/>
      <c r="D17" s="28"/>
      <c r="E17" s="8"/>
      <c r="F17" s="27"/>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26.25" customHeight="1" x14ac:dyDescent="0.3">
      <c r="A18" s="291" t="s">
        <v>58</v>
      </c>
      <c r="B18" s="292"/>
      <c r="C18" s="321" t="s">
        <v>317</v>
      </c>
      <c r="D18" s="299"/>
      <c r="E18" s="299"/>
      <c r="F18" s="299"/>
      <c r="G18" s="299"/>
      <c r="H18" s="299"/>
      <c r="I18" s="299"/>
      <c r="J18" s="299"/>
      <c r="K18" s="299"/>
      <c r="L18" s="299"/>
      <c r="M18" s="299"/>
      <c r="N18" s="300"/>
      <c r="O18" s="322"/>
      <c r="P18" s="322"/>
      <c r="Q18" s="322"/>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49.5" customHeight="1" x14ac:dyDescent="0.3">
      <c r="A19" s="291" t="s">
        <v>59</v>
      </c>
      <c r="B19" s="292"/>
      <c r="C19" s="298" t="s">
        <v>318</v>
      </c>
      <c r="D19" s="301"/>
      <c r="E19" s="301"/>
      <c r="F19" s="301"/>
      <c r="G19" s="301"/>
      <c r="H19" s="301"/>
      <c r="I19" s="301"/>
      <c r="J19" s="301"/>
      <c r="K19" s="301"/>
      <c r="L19" s="301"/>
      <c r="M19" s="301"/>
      <c r="N19" s="302"/>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49.5" customHeight="1" x14ac:dyDescent="0.3">
      <c r="A20" s="291" t="s">
        <v>60</v>
      </c>
      <c r="B20" s="292"/>
      <c r="C20" s="298" t="s">
        <v>319</v>
      </c>
      <c r="D20" s="301"/>
      <c r="E20" s="301"/>
      <c r="F20" s="301"/>
      <c r="G20" s="301"/>
      <c r="H20" s="301"/>
      <c r="I20" s="301"/>
      <c r="J20" s="301"/>
      <c r="K20" s="301"/>
      <c r="L20" s="301"/>
      <c r="M20" s="301"/>
      <c r="N20" s="302"/>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x14ac:dyDescent="0.3">
      <c r="A21" s="329" t="s">
        <v>61</v>
      </c>
      <c r="B21" s="330"/>
      <c r="C21" s="330"/>
      <c r="D21" s="330"/>
      <c r="E21" s="330"/>
      <c r="F21" s="330"/>
      <c r="G21" s="331"/>
      <c r="H21" s="329" t="s">
        <v>62</v>
      </c>
      <c r="I21" s="330"/>
      <c r="J21" s="330"/>
      <c r="K21" s="330"/>
      <c r="L21" s="330"/>
      <c r="M21" s="330"/>
      <c r="N21" s="331"/>
      <c r="O21" s="329" t="s">
        <v>63</v>
      </c>
      <c r="P21" s="330"/>
      <c r="Q21" s="330"/>
      <c r="R21" s="330"/>
      <c r="S21" s="330"/>
      <c r="T21" s="330"/>
      <c r="U21" s="330"/>
      <c r="V21" s="330"/>
      <c r="W21" s="331"/>
      <c r="X21" s="329" t="s">
        <v>64</v>
      </c>
      <c r="Y21" s="330"/>
      <c r="Z21" s="330"/>
      <c r="AA21" s="330"/>
      <c r="AB21" s="330"/>
      <c r="AC21" s="330"/>
      <c r="AD21" s="331"/>
      <c r="AE21" s="329" t="s">
        <v>65</v>
      </c>
      <c r="AF21" s="330"/>
      <c r="AG21" s="330"/>
      <c r="AH21" s="330"/>
      <c r="AI21" s="330"/>
      <c r="AJ21" s="331"/>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6.5" customHeight="1" x14ac:dyDescent="0.3">
      <c r="A22" s="293" t="s">
        <v>66</v>
      </c>
      <c r="B22" s="289" t="s">
        <v>13</v>
      </c>
      <c r="C22" s="283" t="s">
        <v>15</v>
      </c>
      <c r="D22" s="283" t="s">
        <v>17</v>
      </c>
      <c r="E22" s="295" t="s">
        <v>19</v>
      </c>
      <c r="F22" s="290" t="s">
        <v>21</v>
      </c>
      <c r="G22" s="283" t="s">
        <v>67</v>
      </c>
      <c r="H22" s="285" t="s">
        <v>68</v>
      </c>
      <c r="I22" s="286" t="s">
        <v>69</v>
      </c>
      <c r="J22" s="290" t="s">
        <v>70</v>
      </c>
      <c r="K22" s="290" t="s">
        <v>71</v>
      </c>
      <c r="L22" s="288" t="s">
        <v>72</v>
      </c>
      <c r="M22" s="286" t="s">
        <v>69</v>
      </c>
      <c r="N22" s="283" t="s">
        <v>27</v>
      </c>
      <c r="O22" s="296" t="s">
        <v>73</v>
      </c>
      <c r="P22" s="284" t="s">
        <v>29</v>
      </c>
      <c r="Q22" s="290" t="s">
        <v>31</v>
      </c>
      <c r="R22" s="284" t="s">
        <v>74</v>
      </c>
      <c r="S22" s="284"/>
      <c r="T22" s="284"/>
      <c r="U22" s="284"/>
      <c r="V22" s="284"/>
      <c r="W22" s="284"/>
      <c r="X22" s="282" t="s">
        <v>75</v>
      </c>
      <c r="Y22" s="282" t="s">
        <v>76</v>
      </c>
      <c r="Z22" s="282" t="s">
        <v>69</v>
      </c>
      <c r="AA22" s="282" t="s">
        <v>77</v>
      </c>
      <c r="AB22" s="282" t="s">
        <v>69</v>
      </c>
      <c r="AC22" s="282" t="s">
        <v>78</v>
      </c>
      <c r="AD22" s="296" t="s">
        <v>47</v>
      </c>
      <c r="AE22" s="284" t="s">
        <v>65</v>
      </c>
      <c r="AF22" s="284" t="s">
        <v>79</v>
      </c>
      <c r="AG22" s="284" t="s">
        <v>80</v>
      </c>
      <c r="AH22" s="284" t="s">
        <v>81</v>
      </c>
      <c r="AI22" s="284" t="s">
        <v>82</v>
      </c>
      <c r="AJ22" s="284" t="s">
        <v>51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s="4" customFormat="1" ht="94.5" customHeight="1" x14ac:dyDescent="0.25">
      <c r="A23" s="294"/>
      <c r="B23" s="289"/>
      <c r="C23" s="284"/>
      <c r="D23" s="284"/>
      <c r="E23" s="289"/>
      <c r="F23" s="283"/>
      <c r="G23" s="284"/>
      <c r="H23" s="283"/>
      <c r="I23" s="287"/>
      <c r="J23" s="283"/>
      <c r="K23" s="283"/>
      <c r="L23" s="287"/>
      <c r="M23" s="287"/>
      <c r="N23" s="284"/>
      <c r="O23" s="297"/>
      <c r="P23" s="284"/>
      <c r="Q23" s="283"/>
      <c r="R23" s="7" t="s">
        <v>83</v>
      </c>
      <c r="S23" s="7" t="s">
        <v>84</v>
      </c>
      <c r="T23" s="7" t="s">
        <v>85</v>
      </c>
      <c r="U23" s="7" t="s">
        <v>86</v>
      </c>
      <c r="V23" s="7" t="s">
        <v>87</v>
      </c>
      <c r="W23" s="7" t="s">
        <v>88</v>
      </c>
      <c r="X23" s="282"/>
      <c r="Y23" s="282"/>
      <c r="Z23" s="282"/>
      <c r="AA23" s="282"/>
      <c r="AB23" s="282"/>
      <c r="AC23" s="282"/>
      <c r="AD23" s="297"/>
      <c r="AE23" s="284"/>
      <c r="AF23" s="284"/>
      <c r="AG23" s="284"/>
      <c r="AH23" s="284"/>
      <c r="AI23" s="284"/>
      <c r="AJ23" s="284"/>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row>
    <row r="24" spans="1:68" s="3" customFormat="1" ht="54.75" customHeight="1" x14ac:dyDescent="0.25">
      <c r="A24" s="267">
        <v>1</v>
      </c>
      <c r="B24" s="309" t="s">
        <v>192</v>
      </c>
      <c r="C24" s="523" t="s">
        <v>320</v>
      </c>
      <c r="D24" s="311" t="s">
        <v>322</v>
      </c>
      <c r="E24" s="313" t="s">
        <v>323</v>
      </c>
      <c r="F24" s="309" t="s">
        <v>232</v>
      </c>
      <c r="G24" s="319">
        <v>500</v>
      </c>
      <c r="H24" s="307" t="str">
        <f>IF(G24&lt;=0,"",IF(G24&lt;=2,"Muy Baja",IF(G24&lt;=24,"Baja",IF(G24&lt;=500,"Media",IF(G24&lt;=5000,"Alta","Muy Alta")))))</f>
        <v>Media</v>
      </c>
      <c r="I24" s="305">
        <f>IF(H24="","",IF(H24="Muy Baja",0.2,IF(H24="Baja",0.4,IF(H24="Media",0.6,IF(H24="Alta",0.8,IF(H24="Muy Alta",1,))))))</f>
        <v>0.6</v>
      </c>
      <c r="J24" s="303" t="s">
        <v>150</v>
      </c>
      <c r="K24" s="305" t="str">
        <f>IF(NOT(ISERROR(MATCH(J24,'Tabla Impacto'!$B$221:$B$223,0))),'Tabla Impacto'!$F$228&amp;"Por favor no seleccionar los criterios de impacto(Afectación Económica o presupuestal y Pérdida Reputacional)",J24)</f>
        <v xml:space="preserve">     El riesgo afecta la imagen de de la entidad con efecto publicitario sostenido a nivel de sector administrativo, nivel departamental o municipal</v>
      </c>
      <c r="L24" s="307" t="str">
        <f>IF(OR(K24='Tabla Impacto'!$C$11,K24='Tabla Impacto'!$D$11),"Leve",IF(OR(K24='Tabla Impacto'!$C$12,K24='Tabla Impacto'!$D$12),"Menor",IF(OR(K24='Tabla Impacto'!$C$13,K24='Tabla Impacto'!$D$13),"Moderado",IF(OR(K24='Tabla Impacto'!$C$14,K24='Tabla Impacto'!$D$14),"Mayor",IF(OR(K24='Tabla Impacto'!$C$15,K24='Tabla Impacto'!$D$15),"Catastrófico","")))))</f>
        <v>Mayor</v>
      </c>
      <c r="M24" s="305">
        <f>IF(L24="","",IF(L24="Leve",0.2,IF(L24="Menor",0.4,IF(L24="Moderado",0.6,IF(L24="Mayor",0.8,IF(L24="Catastrófico",1,))))))</f>
        <v>0.8</v>
      </c>
      <c r="N24" s="317"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Alto</v>
      </c>
      <c r="O24" s="267">
        <v>1</v>
      </c>
      <c r="P24" s="335" t="s">
        <v>324</v>
      </c>
      <c r="Q24" s="337" t="str">
        <f>IF(OR(R24="Preventivo",R24="Detectivo"),"Probabilidad",IF(R24="Correctivo","Impacto",""))</f>
        <v>Probabilidad</v>
      </c>
      <c r="R24" s="339" t="s">
        <v>166</v>
      </c>
      <c r="S24" s="339" t="s">
        <v>172</v>
      </c>
      <c r="T24" s="341" t="str">
        <f>IF(AND(R24="Preventivo",S24="Automático"),"50%",IF(AND(R24="Preventivo",S24="Manual"),"40%",IF(AND(R24="Detectivo",S24="Automático"),"40%",IF(AND(R24="Detectivo",S24="Manual"),"30%",IF(AND(R24="Correctivo",S24="Automático"),"35%",IF(AND(R24="Correctivo",S24="Manual"),"25%",""))))))</f>
        <v>30%</v>
      </c>
      <c r="U24" s="339" t="s">
        <v>175</v>
      </c>
      <c r="V24" s="339" t="s">
        <v>180</v>
      </c>
      <c r="W24" s="339" t="s">
        <v>184</v>
      </c>
      <c r="X24" s="186">
        <f>IFERROR(IF(Q24="Probabilidad",(I24-(+I24*T24)),IF(Q24="Impacto",I24,"")),"")</f>
        <v>0.42</v>
      </c>
      <c r="Y24" s="343" t="str">
        <f>IFERROR(IF(X24="","",IF(X24&lt;=0.2,"Muy Baja",IF(X24&lt;=0.4,"Baja",IF(X24&lt;=0.6,"Media",IF(X24&lt;=0.8,"Alta","Muy Alta"))))),"")</f>
        <v>Media</v>
      </c>
      <c r="Z24" s="341">
        <f>+X24</f>
        <v>0.42</v>
      </c>
      <c r="AA24" s="343" t="str">
        <f>IFERROR(IF(AB24="","",IF(AB24&lt;=0.2,"Leve",IF(AB24&lt;=0.4,"Menor",IF(AB24&lt;=0.6,"Moderado",IF(AB24&lt;=0.8,"Mayor","Catastrófico"))))),"")</f>
        <v>Mayor</v>
      </c>
      <c r="AB24" s="341">
        <f>IFERROR(IF(Q24="Impacto",(M24-(+M24*T24)),IF(Q24="Probabilidad",M24,"")),"")</f>
        <v>0.8</v>
      </c>
      <c r="AC24" s="345"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Alto</v>
      </c>
      <c r="AD24" s="339" t="s">
        <v>189</v>
      </c>
      <c r="AE24" s="309"/>
      <c r="AF24" s="309"/>
      <c r="AG24" s="309"/>
      <c r="AH24" s="309"/>
      <c r="AI24" s="309"/>
      <c r="AJ24" s="309"/>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row>
    <row r="25" spans="1:68" ht="69.75" customHeight="1" x14ac:dyDescent="0.3">
      <c r="A25" s="268"/>
      <c r="B25" s="310"/>
      <c r="C25" s="523" t="s">
        <v>321</v>
      </c>
      <c r="D25" s="312"/>
      <c r="E25" s="314"/>
      <c r="F25" s="310"/>
      <c r="G25" s="320"/>
      <c r="H25" s="308"/>
      <c r="I25" s="306"/>
      <c r="J25" s="304"/>
      <c r="K25" s="306">
        <f>IF(NOT(ISERROR(MATCH(J25,_xlfn.ANCHORARRAY(E27),0))),I29&amp;"Por favor no seleccionar los criterios de impacto",J25)</f>
        <v>0</v>
      </c>
      <c r="L25" s="308"/>
      <c r="M25" s="306"/>
      <c r="N25" s="318"/>
      <c r="O25" s="269"/>
      <c r="P25" s="336"/>
      <c r="Q25" s="338"/>
      <c r="R25" s="340"/>
      <c r="S25" s="340"/>
      <c r="T25" s="342"/>
      <c r="U25" s="340"/>
      <c r="V25" s="340"/>
      <c r="W25" s="340"/>
      <c r="X25" s="186" t="str">
        <f>IFERROR(IF(AND(Q24="Probabilidad",Q25="Probabilidad"),(Z24-(+Z24*T25)),IF(Q25="Probabilidad",(I24-(+I24*T25)),IF(Q25="Impacto",Z24,""))),"")</f>
        <v/>
      </c>
      <c r="Y25" s="344"/>
      <c r="Z25" s="342"/>
      <c r="AA25" s="344"/>
      <c r="AB25" s="342"/>
      <c r="AC25" s="346"/>
      <c r="AD25" s="340"/>
      <c r="AE25" s="536"/>
      <c r="AF25" s="536"/>
      <c r="AG25" s="536"/>
      <c r="AH25" s="536"/>
      <c r="AI25" s="536"/>
      <c r="AJ25" s="5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10.25" customHeight="1" x14ac:dyDescent="0.3">
      <c r="A26" s="195">
        <v>2</v>
      </c>
      <c r="B26" s="198" t="s">
        <v>192</v>
      </c>
      <c r="C26" s="201" t="s">
        <v>325</v>
      </c>
      <c r="D26" s="201" t="s">
        <v>326</v>
      </c>
      <c r="E26" s="202" t="s">
        <v>327</v>
      </c>
      <c r="F26" s="198" t="s">
        <v>232</v>
      </c>
      <c r="G26" s="199">
        <v>80</v>
      </c>
      <c r="H26" s="200" t="str">
        <f>IF(G26&lt;=0,"",IF(G26&lt;=2,"Muy Baja",IF(G26&lt;=24,"Baja",IF(G26&lt;=500,"Media",IF(G26&lt;=5000,"Alta","Muy Alta")))))</f>
        <v>Media</v>
      </c>
      <c r="I26" s="196">
        <f>IF(H26="","",IF(H26="Muy Baja",0.2,IF(H26="Baja",0.4,IF(H26="Media",0.6,IF(H26="Alta",0.8,IF(H26="Muy Alta",1,))))))</f>
        <v>0.6</v>
      </c>
      <c r="J26" s="203" t="s">
        <v>148</v>
      </c>
      <c r="K26" s="196" t="str">
        <f>IF(NOT(ISERROR(MATCH(J26,'Tabla Impacto'!$B$221:$B$223,0))),'Tabla Impacto'!$F$228&amp;"Por favor no seleccionar los criterios de impacto(Afectación Económica o presupuestal y Pérdida Reputacional)",J26)</f>
        <v xml:space="preserve">     El riesgo afecta la imagen de la entidad con algunos usuarios de relevancia frente al logro de los objetivos</v>
      </c>
      <c r="L26" s="200" t="str">
        <f>IF(OR(K26='Tabla Impacto'!$C$11,K26='Tabla Impacto'!$D$11),"Leve",IF(OR(K26='Tabla Impacto'!$C$12,K26='Tabla Impacto'!$D$12),"Menor",IF(OR(K26='Tabla Impacto'!$C$13,K26='Tabla Impacto'!$D$13),"Moderado",IF(OR(K26='Tabla Impacto'!$C$14,K26='Tabla Impacto'!$D$14),"Mayor",IF(OR(K26='Tabla Impacto'!$C$15,K26='Tabla Impacto'!$D$15),"Catastrófico","")))))</f>
        <v>Moderado</v>
      </c>
      <c r="M26" s="196">
        <f>IF(L26="","",IF(L26="Leve",0.2,IF(L26="Menor",0.4,IF(L26="Moderado",0.6,IF(L26="Mayor",0.8,IF(L26="Catastrófico",1,))))))</f>
        <v>0.6</v>
      </c>
      <c r="N26" s="197"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Moderado</v>
      </c>
      <c r="O26" s="6">
        <v>1</v>
      </c>
      <c r="P26" s="525" t="s">
        <v>328</v>
      </c>
      <c r="Q26" s="526" t="str">
        <f>IF(OR(R26="Preventivo",R26="Detectivo"),"Probabilidad",IF(R26="Correctivo","Impacto",""))</f>
        <v>Probabilidad</v>
      </c>
      <c r="R26" s="527" t="s">
        <v>166</v>
      </c>
      <c r="S26" s="527" t="s">
        <v>172</v>
      </c>
      <c r="T26" s="528" t="str">
        <f>IF(AND(R26="Preventivo",S26="Automático"),"50%",IF(AND(R26="Preventivo",S26="Manual"),"40%",IF(AND(R26="Detectivo",S26="Automático"),"40%",IF(AND(R26="Detectivo",S26="Manual"),"30%",IF(AND(R26="Correctivo",S26="Automático"),"35%",IF(AND(R26="Correctivo",S26="Manual"),"25%",""))))))</f>
        <v>30%</v>
      </c>
      <c r="U26" s="527" t="s">
        <v>175</v>
      </c>
      <c r="V26" s="527" t="s">
        <v>180</v>
      </c>
      <c r="W26" s="527" t="s">
        <v>184</v>
      </c>
      <c r="X26" s="186">
        <f>IFERROR(IF(Q26="Probabilidad",(I26-(+I26*T26)),IF(Q26="Impacto",I26,"")),"")</f>
        <v>0.42</v>
      </c>
      <c r="Y26" s="529" t="str">
        <f>IFERROR(IF(X26="","",IF(X26&lt;=0.2,"Muy Baja",IF(X26&lt;=0.4,"Baja",IF(X26&lt;=0.6,"Media",IF(X26&lt;=0.8,"Alta","Muy Alta"))))),"")</f>
        <v>Media</v>
      </c>
      <c r="Z26" s="193">
        <f>+X26</f>
        <v>0.42</v>
      </c>
      <c r="AA26" s="529" t="str">
        <f>IFERROR(IF(AB26="","",IF(AB26&lt;=0.2,"Leve",IF(AB26&lt;=0.4,"Menor",IF(AB26&lt;=0.6,"Moderado",IF(AB26&lt;=0.8,"Mayor","Catastrófico"))))),"")</f>
        <v>Moderado</v>
      </c>
      <c r="AB26" s="193">
        <f>IFERROR(IF(Q26="Impacto",(M26-(+M26*T26)),IF(Q26="Probabilidad",M26,"")),"")</f>
        <v>0.6</v>
      </c>
      <c r="AC26" s="530"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Moderado</v>
      </c>
      <c r="AD26" s="194" t="s">
        <v>189</v>
      </c>
      <c r="AE26" s="531"/>
      <c r="AF26" s="532"/>
      <c r="AG26" s="533"/>
      <c r="AH26" s="533"/>
      <c r="AI26" s="531"/>
      <c r="AJ26" s="532"/>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67">
        <v>3</v>
      </c>
      <c r="B27" s="309" t="s">
        <v>194</v>
      </c>
      <c r="C27" s="523" t="s">
        <v>330</v>
      </c>
      <c r="D27" s="311" t="s">
        <v>331</v>
      </c>
      <c r="E27" s="313" t="s">
        <v>332</v>
      </c>
      <c r="F27" s="309" t="s">
        <v>232</v>
      </c>
      <c r="G27" s="319">
        <v>470</v>
      </c>
      <c r="H27" s="307" t="str">
        <f>IF(G27&lt;=0,"",IF(G27&lt;=2,"Muy Baja",IF(G27&lt;=24,"Baja",IF(G27&lt;=500,"Media",IF(G27&lt;=5000,"Alta","Muy Alta")))))</f>
        <v>Media</v>
      </c>
      <c r="I27" s="305">
        <f>IF(H27="","",IF(H27="Muy Baja",0.2,IF(H27="Baja",0.4,IF(H27="Media",0.6,IF(H27="Alta",0.8,IF(H27="Muy Alta",1,))))))</f>
        <v>0.6</v>
      </c>
      <c r="J27" s="303" t="s">
        <v>147</v>
      </c>
      <c r="K27" s="305" t="str">
        <f>IF(NOT(ISERROR(MATCH(J27,'Tabla Impacto'!$B$221:$B$223,0))),'Tabla Impacto'!$F$228&amp;"Por favor no seleccionar los criterios de impacto(Afectación Económica o presupuestal y Pérdida Reputacional)",J27)</f>
        <v xml:space="preserve">     Entre 50 y 100 SMLMV </v>
      </c>
      <c r="L27" s="307" t="str">
        <f>IF(OR(K27='Tabla Impacto'!$C$11,K27='Tabla Impacto'!$D$11),"Leve",IF(OR(K27='Tabla Impacto'!$C$12,K27='Tabla Impacto'!$D$12),"Menor",IF(OR(K27='Tabla Impacto'!$C$13,K27='Tabla Impacto'!$D$13),"Moderado",IF(OR(K27='Tabla Impacto'!$C$14,K27='Tabla Impacto'!$D$14),"Mayor",IF(OR(K27='Tabla Impacto'!$C$15,K27='Tabla Impacto'!$D$15),"Catastrófico","")))))</f>
        <v>Moderado</v>
      </c>
      <c r="M27" s="305">
        <f>IF(L27="","",IF(L27="Leve",0.2,IF(L27="Menor",0.4,IF(L27="Moderado",0.6,IF(L27="Mayor",0.8,IF(L27="Catastrófico",1,))))))</f>
        <v>0.6</v>
      </c>
      <c r="N27" s="317"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Moderado</v>
      </c>
      <c r="O27" s="6">
        <v>1</v>
      </c>
      <c r="P27" s="525" t="s">
        <v>333</v>
      </c>
      <c r="Q27" s="526" t="str">
        <f>IF(OR(R27="Preventivo",R27="Detectivo"),"Probabilidad",IF(R27="Correctivo","Impacto",""))</f>
        <v>Probabilidad</v>
      </c>
      <c r="R27" s="527" t="s">
        <v>166</v>
      </c>
      <c r="S27" s="527" t="s">
        <v>172</v>
      </c>
      <c r="T27" s="528" t="str">
        <f>IF(AND(R27="Preventivo",S27="Automático"),"50%",IF(AND(R27="Preventivo",S27="Manual"),"40%",IF(AND(R27="Detectivo",S27="Automático"),"40%",IF(AND(R27="Detectivo",S27="Manual"),"30%",IF(AND(R27="Correctivo",S27="Automático"),"35%",IF(AND(R27="Correctivo",S27="Manual"),"25%",""))))))</f>
        <v>30%</v>
      </c>
      <c r="U27" s="527" t="s">
        <v>175</v>
      </c>
      <c r="V27" s="527" t="s">
        <v>180</v>
      </c>
      <c r="W27" s="527" t="s">
        <v>184</v>
      </c>
      <c r="X27" s="186">
        <f>IFERROR(IF(Q27="Probabilidad",(I27-(+I27*T27)),IF(Q27="Impacto",I27,"")),"")</f>
        <v>0.42</v>
      </c>
      <c r="Y27" s="529" t="str">
        <f>IFERROR(IF(X27="","",IF(X27&lt;=0.2,"Muy Baja",IF(X27&lt;=0.4,"Baja",IF(X27&lt;=0.6,"Media",IF(X27&lt;=0.8,"Alta","Muy Alta"))))),"")</f>
        <v>Media</v>
      </c>
      <c r="Z27" s="193">
        <f>+X27</f>
        <v>0.42</v>
      </c>
      <c r="AA27" s="529" t="str">
        <f>IFERROR(IF(AB27="","",IF(AB27&lt;=0.2,"Leve",IF(AB27&lt;=0.4,"Menor",IF(AB27&lt;=0.6,"Moderado",IF(AB27&lt;=0.8,"Mayor","Catastrófico"))))),"")</f>
        <v>Moderado</v>
      </c>
      <c r="AB27" s="193">
        <f>IFERROR(IF(Q27="Impacto",(M27-(+M27*T27)),IF(Q27="Probabilidad",M27,"")),"")</f>
        <v>0.6</v>
      </c>
      <c r="AC27" s="530"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Moderado</v>
      </c>
      <c r="AD27" s="339" t="s">
        <v>189</v>
      </c>
      <c r="AE27" s="531"/>
      <c r="AF27" s="532"/>
      <c r="AG27" s="533"/>
      <c r="AH27" s="533"/>
      <c r="AI27" s="531"/>
      <c r="AJ27" s="532"/>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20.75" customHeight="1" x14ac:dyDescent="0.3">
      <c r="A28" s="268"/>
      <c r="B28" s="310"/>
      <c r="C28" s="545" t="s">
        <v>329</v>
      </c>
      <c r="D28" s="312"/>
      <c r="E28" s="314"/>
      <c r="F28" s="310"/>
      <c r="G28" s="320"/>
      <c r="H28" s="308"/>
      <c r="I28" s="306"/>
      <c r="J28" s="304"/>
      <c r="K28" s="306">
        <f>IF(NOT(ISERROR(MATCH(J28,_xlfn.ANCHORARRAY(E36),0))),I38&amp;"Por favor no seleccionar los criterios de impacto",J28)</f>
        <v>0</v>
      </c>
      <c r="L28" s="308"/>
      <c r="M28" s="306"/>
      <c r="N28" s="318"/>
      <c r="O28" s="6">
        <v>2</v>
      </c>
      <c r="P28" s="525" t="s">
        <v>334</v>
      </c>
      <c r="Q28" s="526" t="str">
        <f>IF(OR(R28="Preventivo",R28="Detectivo"),"Probabilidad",IF(R28="Correctivo","Impacto",""))</f>
        <v>Impacto</v>
      </c>
      <c r="R28" s="527" t="s">
        <v>168</v>
      </c>
      <c r="S28" s="527" t="s">
        <v>172</v>
      </c>
      <c r="T28" s="528" t="str">
        <f t="shared" ref="T28:T29" si="0">IF(AND(R28="Preventivo",S28="Automático"),"50%",IF(AND(R28="Preventivo",S28="Manual"),"40%",IF(AND(R28="Detectivo",S28="Automático"),"40%",IF(AND(R28="Detectivo",S28="Manual"),"30%",IF(AND(R28="Correctivo",S28="Automático"),"35%",IF(AND(R28="Correctivo",S28="Manual"),"25%",""))))))</f>
        <v>25%</v>
      </c>
      <c r="U28" s="527" t="s">
        <v>175</v>
      </c>
      <c r="V28" s="527" t="s">
        <v>180</v>
      </c>
      <c r="W28" s="527" t="s">
        <v>184</v>
      </c>
      <c r="X28" s="543">
        <f>IFERROR(IF(AND(Q27="Probabilidad",Q28="Probabilidad"),(Z27-(+Z27*T28)),IF(Q28="Probabilidad",(I27-(+I27*T28)),IF(Q28="Impacto",Z27,""))),"")</f>
        <v>0.42</v>
      </c>
      <c r="Y28" s="529" t="str">
        <f t="shared" ref="Y28:Y67" si="1">IFERROR(IF(X28="","",IF(X28&lt;=0.2,"Muy Baja",IF(X28&lt;=0.4,"Baja",IF(X28&lt;=0.6,"Media",IF(X28&lt;=0.8,"Alta","Muy Alta"))))),"")</f>
        <v>Media</v>
      </c>
      <c r="Z28" s="193">
        <f t="shared" ref="Z28:Z29" si="2">+X28</f>
        <v>0.42</v>
      </c>
      <c r="AA28" s="529" t="str">
        <f t="shared" ref="AA28:AA67" si="3">IFERROR(IF(AB28="","",IF(AB28&lt;=0.2,"Leve",IF(AB28&lt;=0.4,"Menor",IF(AB28&lt;=0.6,"Moderado",IF(AB28&lt;=0.8,"Mayor","Catastrófico"))))),"")</f>
        <v>Moderado</v>
      </c>
      <c r="AB28" s="193">
        <f>IFERROR(IF(AND(Q27="Impacto",Q28="Impacto"),(AB27-(+AB27*T28)),IF(Q28="Impacto",(M27-(+M27*T28)),IF(Q28="Probabilidad",AB27,""))),"")</f>
        <v>0.44999999999999996</v>
      </c>
      <c r="AC28" s="530" t="str">
        <f t="shared" ref="AC28:AC29" si="4">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547"/>
      <c r="AE28" s="531"/>
      <c r="AF28" s="532"/>
      <c r="AG28" s="533"/>
      <c r="AH28" s="533"/>
      <c r="AI28" s="531"/>
      <c r="AJ28" s="532"/>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26" customHeight="1" x14ac:dyDescent="0.3">
      <c r="A29" s="268"/>
      <c r="B29" s="310"/>
      <c r="C29" s="546"/>
      <c r="D29" s="312"/>
      <c r="E29" s="314"/>
      <c r="F29" s="310"/>
      <c r="G29" s="320"/>
      <c r="H29" s="308"/>
      <c r="I29" s="306"/>
      <c r="J29" s="304"/>
      <c r="K29" s="306">
        <f>IF(NOT(ISERROR(MATCH(J29,_xlfn.ANCHORARRAY(E37),0))),I39&amp;"Por favor no seleccionar los criterios de impacto",J29)</f>
        <v>0</v>
      </c>
      <c r="L29" s="308"/>
      <c r="M29" s="306"/>
      <c r="N29" s="318"/>
      <c r="O29" s="6">
        <v>3</v>
      </c>
      <c r="P29" s="544" t="s">
        <v>335</v>
      </c>
      <c r="Q29" s="526" t="str">
        <f>IF(OR(R29="Preventivo",R29="Detectivo"),"Probabilidad",IF(R29="Correctivo","Impacto",""))</f>
        <v>Impacto</v>
      </c>
      <c r="R29" s="527" t="s">
        <v>168</v>
      </c>
      <c r="S29" s="527" t="s">
        <v>172</v>
      </c>
      <c r="T29" s="528" t="str">
        <f t="shared" si="0"/>
        <v>25%</v>
      </c>
      <c r="U29" s="527" t="s">
        <v>175</v>
      </c>
      <c r="V29" s="527" t="s">
        <v>180</v>
      </c>
      <c r="W29" s="527" t="s">
        <v>184</v>
      </c>
      <c r="X29" s="186">
        <f>IFERROR(IF(AND(Q28="Probabilidad",Q29="Probabilidad"),(Z28-(+Z28*T29)),IF(AND(Q28="Impacto",Q29="Probabilidad"),(Z27-(+Z27*T29)),IF(Q29="Impacto",Z28,""))),"")</f>
        <v>0.42</v>
      </c>
      <c r="Y29" s="529" t="str">
        <f t="shared" si="1"/>
        <v>Media</v>
      </c>
      <c r="Z29" s="193">
        <f t="shared" si="2"/>
        <v>0.42</v>
      </c>
      <c r="AA29" s="529" t="str">
        <f t="shared" si="3"/>
        <v>Menor</v>
      </c>
      <c r="AB29" s="193">
        <f>IFERROR(IF(AND(Q28="Impacto",Q29="Impacto"),(AB28-(+AB28*T29)),IF(AND(Q28="Probabilidad",Q29="Impacto"),(AB27-(+AB27*T29)),IF(Q29="Probabilidad",AB28,""))),"")</f>
        <v>0.33749999999999997</v>
      </c>
      <c r="AC29" s="530" t="str">
        <f t="shared" si="4"/>
        <v>Moderado</v>
      </c>
      <c r="AD29" s="340"/>
      <c r="AE29" s="531"/>
      <c r="AF29" s="532"/>
      <c r="AG29" s="533"/>
      <c r="AH29" s="533"/>
      <c r="AI29" s="531"/>
      <c r="AJ29" s="532"/>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8" hidden="1" customHeight="1" x14ac:dyDescent="0.3">
      <c r="A30" s="267">
        <v>4</v>
      </c>
      <c r="B30" s="309"/>
      <c r="C30" s="309"/>
      <c r="D30" s="309"/>
      <c r="E30" s="524"/>
      <c r="F30" s="309"/>
      <c r="G30" s="319"/>
      <c r="H30" s="307" t="str">
        <f>IF(G30&lt;=0,"",IF(G30&lt;=2,"Muy Baja",IF(G30&lt;=24,"Baja",IF(G30&lt;=500,"Media",IF(G30&lt;=5000,"Alta","Muy Alta")))))</f>
        <v/>
      </c>
      <c r="I30" s="305" t="str">
        <f>IF(H30="","",IF(H30="Muy Baja",0.2,IF(H30="Baja",0.4,IF(H30="Media",0.6,IF(H30="Alta",0.8,IF(H30="Muy Alta",1,))))))</f>
        <v/>
      </c>
      <c r="J30" s="303"/>
      <c r="K30" s="305">
        <f>IF(NOT(ISERROR(MATCH(J30,'Tabla Impacto'!$B$221:$B$223,0))),'Tabla Impacto'!$F$228&amp;"Por favor no seleccionar los criterios de impacto(Afectación Económica o presupuestal y Pérdida Reputacional)",J30)</f>
        <v>0</v>
      </c>
      <c r="L30" s="307" t="str">
        <f>IF(OR(K30='Tabla Impacto'!$C$11,K30='Tabla Impacto'!$D$11),"Leve",IF(OR(K30='Tabla Impacto'!$C$12,K30='Tabla Impacto'!$D$12),"Menor",IF(OR(K30='Tabla Impacto'!$C$13,K30='Tabla Impacto'!$D$13),"Moderado",IF(OR(K30='Tabla Impacto'!$C$14,K30='Tabla Impacto'!$D$14),"Mayor",IF(OR(K30='Tabla Impacto'!$C$15,K30='Tabla Impacto'!$D$15),"Catastrófico","")))))</f>
        <v/>
      </c>
      <c r="M30" s="305" t="str">
        <f>IF(L30="","",IF(L30="Leve",0.2,IF(L30="Menor",0.4,IF(L30="Moderado",0.6,IF(L30="Mayor",0.8,IF(L30="Catastrófico",1,))))))</f>
        <v/>
      </c>
      <c r="N30" s="317"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6">
        <v>1</v>
      </c>
      <c r="P30" s="525"/>
      <c r="Q30" s="526" t="str">
        <f>IF(OR(R30="Preventivo",R30="Detectivo"),"Probabilidad",IF(R30="Correctivo","Impacto",""))</f>
        <v/>
      </c>
      <c r="R30" s="527"/>
      <c r="S30" s="527"/>
      <c r="T30" s="528" t="str">
        <f>IF(AND(R30="Preventivo",S30="Automático"),"50%",IF(AND(R30="Preventivo",S30="Manual"),"40%",IF(AND(R30="Detectivo",S30="Automático"),"40%",IF(AND(R30="Detectivo",S30="Manual"),"30%",IF(AND(R30="Correctivo",S30="Automático"),"35%",IF(AND(R30="Correctivo",S30="Manual"),"25%",""))))))</f>
        <v/>
      </c>
      <c r="U30" s="527"/>
      <c r="V30" s="527"/>
      <c r="W30" s="527"/>
      <c r="X30" s="186" t="str">
        <f>IFERROR(IF(Q30="Probabilidad",(I30-(+I30*T30)),IF(Q30="Impacto",I30,"")),"")</f>
        <v/>
      </c>
      <c r="Y30" s="529" t="str">
        <f>IFERROR(IF(X30="","",IF(X30&lt;=0.2,"Muy Baja",IF(X30&lt;=0.4,"Baja",IF(X30&lt;=0.6,"Media",IF(X30&lt;=0.8,"Alta","Muy Alta"))))),"")</f>
        <v/>
      </c>
      <c r="Z30" s="193" t="str">
        <f>+X30</f>
        <v/>
      </c>
      <c r="AA30" s="529" t="str">
        <f>IFERROR(IF(AB30="","",IF(AB30&lt;=0.2,"Leve",IF(AB30&lt;=0.4,"Menor",IF(AB30&lt;=0.6,"Moderado",IF(AB30&lt;=0.8,"Mayor","Catastrófico"))))),"")</f>
        <v/>
      </c>
      <c r="AB30" s="193" t="str">
        <f>IFERROR(IF(Q30="Impacto",(M30-(+M30*T30)),IF(Q30="Probabilidad",M30,"")),"")</f>
        <v/>
      </c>
      <c r="AC30" s="530"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94"/>
      <c r="AE30" s="531"/>
      <c r="AF30" s="532"/>
      <c r="AG30" s="533"/>
      <c r="AH30" s="533"/>
      <c r="AI30" s="531"/>
      <c r="AJ30" s="532"/>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8" hidden="1" customHeight="1" x14ac:dyDescent="0.3">
      <c r="A31" s="268"/>
      <c r="B31" s="310"/>
      <c r="C31" s="310"/>
      <c r="D31" s="310"/>
      <c r="E31" s="534"/>
      <c r="F31" s="310"/>
      <c r="G31" s="320"/>
      <c r="H31" s="308"/>
      <c r="I31" s="306"/>
      <c r="J31" s="304"/>
      <c r="K31" s="306">
        <f t="shared" ref="K31:K35" si="5">IF(NOT(ISERROR(MATCH(J31,_xlfn.ANCHORARRAY(E42),0))),I44&amp;"Por favor no seleccionar los criterios de impacto",J31)</f>
        <v>0</v>
      </c>
      <c r="L31" s="308"/>
      <c r="M31" s="306"/>
      <c r="N31" s="318"/>
      <c r="O31" s="6">
        <v>2</v>
      </c>
      <c r="P31" s="525"/>
      <c r="Q31" s="526" t="str">
        <f>IF(OR(R31="Preventivo",R31="Detectivo"),"Probabilidad",IF(R31="Correctivo","Impacto",""))</f>
        <v/>
      </c>
      <c r="R31" s="527"/>
      <c r="S31" s="527"/>
      <c r="T31" s="528" t="str">
        <f t="shared" ref="T31:T35" si="6">IF(AND(R31="Preventivo",S31="Automático"),"50%",IF(AND(R31="Preventivo",S31="Manual"),"40%",IF(AND(R31="Detectivo",S31="Automático"),"40%",IF(AND(R31="Detectivo",S31="Manual"),"30%",IF(AND(R31="Correctivo",S31="Automático"),"35%",IF(AND(R31="Correctivo",S31="Manual"),"25%",""))))))</f>
        <v/>
      </c>
      <c r="U31" s="527"/>
      <c r="V31" s="527"/>
      <c r="W31" s="527"/>
      <c r="X31" s="186" t="str">
        <f>IFERROR(IF(AND(Q30="Probabilidad",Q31="Probabilidad"),(Z30-(+Z30*T31)),IF(Q31="Probabilidad",(I30-(+I30*T31)),IF(Q31="Impacto",Z30,""))),"")</f>
        <v/>
      </c>
      <c r="Y31" s="529" t="str">
        <f t="shared" si="1"/>
        <v/>
      </c>
      <c r="Z31" s="193" t="str">
        <f t="shared" ref="Z31:Z35" si="7">+X31</f>
        <v/>
      </c>
      <c r="AA31" s="529" t="str">
        <f t="shared" si="3"/>
        <v/>
      </c>
      <c r="AB31" s="193" t="str">
        <f>IFERROR(IF(AND(Q30="Impacto",Q31="Impacto"),(AB30-(+AB30*T31)),IF(Q31="Impacto",(M30-(+M30*T31)),IF(Q31="Probabilidad",AB30,""))),"")</f>
        <v/>
      </c>
      <c r="AC31" s="530" t="str">
        <f t="shared" ref="AC31:AC32" si="8">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94"/>
      <c r="AE31" s="531"/>
      <c r="AF31" s="532"/>
      <c r="AG31" s="533"/>
      <c r="AH31" s="533"/>
      <c r="AI31" s="531"/>
      <c r="AJ31" s="532"/>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8" hidden="1" customHeight="1" x14ac:dyDescent="0.3">
      <c r="A32" s="268"/>
      <c r="B32" s="310"/>
      <c r="C32" s="310"/>
      <c r="D32" s="310"/>
      <c r="E32" s="534"/>
      <c r="F32" s="310"/>
      <c r="G32" s="320"/>
      <c r="H32" s="308"/>
      <c r="I32" s="306"/>
      <c r="J32" s="304"/>
      <c r="K32" s="306">
        <f t="shared" si="5"/>
        <v>0</v>
      </c>
      <c r="L32" s="308"/>
      <c r="M32" s="306"/>
      <c r="N32" s="318"/>
      <c r="O32" s="6">
        <v>3</v>
      </c>
      <c r="P32" s="535"/>
      <c r="Q32" s="526" t="str">
        <f>IF(OR(R32="Preventivo",R32="Detectivo"),"Probabilidad",IF(R32="Correctivo","Impacto",""))</f>
        <v/>
      </c>
      <c r="R32" s="527"/>
      <c r="S32" s="527"/>
      <c r="T32" s="528" t="str">
        <f t="shared" si="6"/>
        <v/>
      </c>
      <c r="U32" s="527"/>
      <c r="V32" s="527"/>
      <c r="W32" s="527"/>
      <c r="X32" s="186" t="str">
        <f>IFERROR(IF(AND(Q31="Probabilidad",Q32="Probabilidad"),(Z31-(+Z31*T32)),IF(AND(Q31="Impacto",Q32="Probabilidad"),(Z30-(+Z30*T32)),IF(Q32="Impacto",Z31,""))),"")</f>
        <v/>
      </c>
      <c r="Y32" s="529" t="str">
        <f t="shared" si="1"/>
        <v/>
      </c>
      <c r="Z32" s="193" t="str">
        <f t="shared" si="7"/>
        <v/>
      </c>
      <c r="AA32" s="529" t="str">
        <f t="shared" si="3"/>
        <v/>
      </c>
      <c r="AB32" s="193" t="str">
        <f>IFERROR(IF(AND(Q31="Impacto",Q32="Impacto"),(AB31-(+AB31*T32)),IF(AND(Q31="Probabilidad",Q32="Impacto"),(AB30-(+AB30*T32)),IF(Q32="Probabilidad",AB31,""))),"")</f>
        <v/>
      </c>
      <c r="AC32" s="530" t="str">
        <f t="shared" si="8"/>
        <v/>
      </c>
      <c r="AD32" s="194"/>
      <c r="AE32" s="531"/>
      <c r="AF32" s="532"/>
      <c r="AG32" s="533"/>
      <c r="AH32" s="533"/>
      <c r="AI32" s="531"/>
      <c r="AJ32" s="532"/>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8" hidden="1" customHeight="1" x14ac:dyDescent="0.3">
      <c r="A33" s="268"/>
      <c r="B33" s="310"/>
      <c r="C33" s="310"/>
      <c r="D33" s="310"/>
      <c r="E33" s="534"/>
      <c r="F33" s="310"/>
      <c r="G33" s="320"/>
      <c r="H33" s="308"/>
      <c r="I33" s="306"/>
      <c r="J33" s="304"/>
      <c r="K33" s="306">
        <f t="shared" si="5"/>
        <v>0</v>
      </c>
      <c r="L33" s="308"/>
      <c r="M33" s="306"/>
      <c r="N33" s="318"/>
      <c r="O33" s="6">
        <v>4</v>
      </c>
      <c r="P33" s="525"/>
      <c r="Q33" s="526" t="str">
        <f t="shared" ref="Q33:Q35" si="9">IF(OR(R33="Preventivo",R33="Detectivo"),"Probabilidad",IF(R33="Correctivo","Impacto",""))</f>
        <v/>
      </c>
      <c r="R33" s="527"/>
      <c r="S33" s="527"/>
      <c r="T33" s="528" t="str">
        <f t="shared" si="6"/>
        <v/>
      </c>
      <c r="U33" s="527"/>
      <c r="V33" s="527"/>
      <c r="W33" s="527"/>
      <c r="X33" s="186" t="str">
        <f t="shared" ref="X33:X35" si="10">IFERROR(IF(AND(Q32="Probabilidad",Q33="Probabilidad"),(Z32-(+Z32*T33)),IF(AND(Q32="Impacto",Q33="Probabilidad"),(Z31-(+Z31*T33)),IF(Q33="Impacto",Z32,""))),"")</f>
        <v/>
      </c>
      <c r="Y33" s="529" t="str">
        <f t="shared" si="1"/>
        <v/>
      </c>
      <c r="Z33" s="193" t="str">
        <f t="shared" si="7"/>
        <v/>
      </c>
      <c r="AA33" s="529" t="str">
        <f t="shared" si="3"/>
        <v/>
      </c>
      <c r="AB33" s="193" t="str">
        <f t="shared" ref="AB33:AB35" si="11">IFERROR(IF(AND(Q32="Impacto",Q33="Impacto"),(AB32-(+AB32*T33)),IF(AND(Q32="Probabilidad",Q33="Impacto"),(AB31-(+AB31*T33)),IF(Q33="Probabilidad",AB32,""))),"")</f>
        <v/>
      </c>
      <c r="AC33" s="530"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94"/>
      <c r="AE33" s="531"/>
      <c r="AF33" s="532"/>
      <c r="AG33" s="533"/>
      <c r="AH33" s="533"/>
      <c r="AI33" s="531"/>
      <c r="AJ33" s="532"/>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8" hidden="1" customHeight="1" x14ac:dyDescent="0.3">
      <c r="A34" s="268"/>
      <c r="B34" s="310"/>
      <c r="C34" s="310"/>
      <c r="D34" s="310"/>
      <c r="E34" s="534"/>
      <c r="F34" s="310"/>
      <c r="G34" s="320"/>
      <c r="H34" s="308"/>
      <c r="I34" s="306"/>
      <c r="J34" s="304"/>
      <c r="K34" s="306">
        <f t="shared" si="5"/>
        <v>0</v>
      </c>
      <c r="L34" s="308"/>
      <c r="M34" s="306"/>
      <c r="N34" s="318"/>
      <c r="O34" s="6">
        <v>5</v>
      </c>
      <c r="P34" s="525"/>
      <c r="Q34" s="526" t="str">
        <f t="shared" si="9"/>
        <v/>
      </c>
      <c r="R34" s="527"/>
      <c r="S34" s="527"/>
      <c r="T34" s="528" t="str">
        <f t="shared" si="6"/>
        <v/>
      </c>
      <c r="U34" s="527"/>
      <c r="V34" s="527"/>
      <c r="W34" s="527"/>
      <c r="X34" s="543" t="str">
        <f t="shared" si="10"/>
        <v/>
      </c>
      <c r="Y34" s="529" t="str">
        <f>IFERROR(IF(X34="","",IF(X34&lt;=0.2,"Muy Baja",IF(X34&lt;=0.4,"Baja",IF(X34&lt;=0.6,"Media",IF(X34&lt;=0.8,"Alta","Muy Alta"))))),"")</f>
        <v/>
      </c>
      <c r="Z34" s="193" t="str">
        <f t="shared" si="7"/>
        <v/>
      </c>
      <c r="AA34" s="529" t="str">
        <f t="shared" si="3"/>
        <v/>
      </c>
      <c r="AB34" s="193" t="str">
        <f t="shared" si="11"/>
        <v/>
      </c>
      <c r="AC34" s="530" t="str">
        <f t="shared" ref="AC34:AC35" si="12">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94"/>
      <c r="AE34" s="531"/>
      <c r="AF34" s="532"/>
      <c r="AG34" s="533"/>
      <c r="AH34" s="533"/>
      <c r="AI34" s="531"/>
      <c r="AJ34" s="532"/>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8" hidden="1" customHeight="1" x14ac:dyDescent="0.3">
      <c r="A35" s="269"/>
      <c r="B35" s="536"/>
      <c r="C35" s="536"/>
      <c r="D35" s="536"/>
      <c r="E35" s="537"/>
      <c r="F35" s="536"/>
      <c r="G35" s="538"/>
      <c r="H35" s="539"/>
      <c r="I35" s="540"/>
      <c r="J35" s="541"/>
      <c r="K35" s="540">
        <f t="shared" si="5"/>
        <v>0</v>
      </c>
      <c r="L35" s="539"/>
      <c r="M35" s="540"/>
      <c r="N35" s="542"/>
      <c r="O35" s="6">
        <v>6</v>
      </c>
      <c r="P35" s="525"/>
      <c r="Q35" s="526" t="str">
        <f t="shared" si="9"/>
        <v/>
      </c>
      <c r="R35" s="527"/>
      <c r="S35" s="527"/>
      <c r="T35" s="528" t="str">
        <f t="shared" si="6"/>
        <v/>
      </c>
      <c r="U35" s="527"/>
      <c r="V35" s="527"/>
      <c r="W35" s="527"/>
      <c r="X35" s="186" t="str">
        <f t="shared" si="10"/>
        <v/>
      </c>
      <c r="Y35" s="529" t="str">
        <f t="shared" si="1"/>
        <v/>
      </c>
      <c r="Z35" s="193" t="str">
        <f t="shared" si="7"/>
        <v/>
      </c>
      <c r="AA35" s="529" t="str">
        <f t="shared" si="3"/>
        <v/>
      </c>
      <c r="AB35" s="193" t="str">
        <f t="shared" si="11"/>
        <v/>
      </c>
      <c r="AC35" s="530" t="str">
        <f t="shared" si="12"/>
        <v/>
      </c>
      <c r="AD35" s="194"/>
      <c r="AE35" s="531"/>
      <c r="AF35" s="532"/>
      <c r="AG35" s="533"/>
      <c r="AH35" s="533"/>
      <c r="AI35" s="531"/>
      <c r="AJ35" s="532"/>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8" hidden="1" customHeight="1" x14ac:dyDescent="0.3">
      <c r="A36" s="267">
        <v>5</v>
      </c>
      <c r="B36" s="258"/>
      <c r="C36" s="258"/>
      <c r="D36" s="258"/>
      <c r="E36" s="270"/>
      <c r="F36" s="258"/>
      <c r="G36" s="261"/>
      <c r="H36" s="264" t="str">
        <f>IF(G36&lt;=0,"",IF(G36&lt;=2,"Muy Baja",IF(G36&lt;=24,"Baja",IF(G36&lt;=500,"Media",IF(G36&lt;=5000,"Alta","Muy Alta")))))</f>
        <v/>
      </c>
      <c r="I36" s="276" t="str">
        <f>IF(H36="","",IF(H36="Muy Baja",0.2,IF(H36="Baja",0.4,IF(H36="Media",0.6,IF(H36="Alta",0.8,IF(H36="Muy Alta",1,))))))</f>
        <v/>
      </c>
      <c r="J36" s="279"/>
      <c r="K36" s="276">
        <f>IF(NOT(ISERROR(MATCH(J36,'Tabla Impacto'!$B$221:$B$223,0))),'Tabla Impacto'!$F$228&amp;"Por favor no seleccionar los criterios de impacto(Afectación Económica o presupuestal y Pérdida Reputacional)",J36)</f>
        <v>0</v>
      </c>
      <c r="L36" s="264" t="str">
        <f>IF(OR(K36='Tabla Impacto'!$C$11,K36='Tabla Impacto'!$D$11),"Leve",IF(OR(K36='Tabla Impacto'!$C$12,K36='Tabla Impacto'!$D$12),"Menor",IF(OR(K36='Tabla Impacto'!$C$13,K36='Tabla Impacto'!$D$13),"Moderado",IF(OR(K36='Tabla Impacto'!$C$14,K36='Tabla Impacto'!$D$14),"Mayor",IF(OR(K36='Tabla Impacto'!$C$15,K36='Tabla Impacto'!$D$15),"Catastrófico","")))))</f>
        <v/>
      </c>
      <c r="M36" s="276" t="str">
        <f>IF(L36="","",IF(L36="Leve",0.2,IF(L36="Menor",0.4,IF(L36="Moderado",0.6,IF(L36="Mayor",0.8,IF(L36="Catastrófico",1,))))))</f>
        <v/>
      </c>
      <c r="N36" s="27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23">
        <v>1</v>
      </c>
      <c r="P36" s="124"/>
      <c r="Q36" s="125" t="str">
        <f>IF(OR(R36="Preventivo",R36="Detectivo"),"Probabilidad",IF(R36="Correctivo","Impacto",""))</f>
        <v/>
      </c>
      <c r="R36" s="126"/>
      <c r="S36" s="126"/>
      <c r="T36" s="127" t="str">
        <f>IF(AND(R36="Preventivo",S36="Automático"),"50%",IF(AND(R36="Preventivo",S36="Manual"),"40%",IF(AND(R36="Detectivo",S36="Automático"),"40%",IF(AND(R36="Detectivo",S36="Manual"),"30%",IF(AND(R36="Correctivo",S36="Automático"),"35%",IF(AND(R36="Correctivo",S36="Manual"),"25%",""))))))</f>
        <v/>
      </c>
      <c r="U36" s="126"/>
      <c r="V36" s="126"/>
      <c r="W36" s="126"/>
      <c r="X36" s="128" t="str">
        <f>IFERROR(IF(Q36="Probabilidad",(I36-(+I36*T36)),IF(Q36="Impacto",I36,"")),"")</f>
        <v/>
      </c>
      <c r="Y36" s="129" t="str">
        <f>IFERROR(IF(X36="","",IF(X36&lt;=0.2,"Muy Baja",IF(X36&lt;=0.4,"Baja",IF(X36&lt;=0.6,"Media",IF(X36&lt;=0.8,"Alta","Muy Alta"))))),"")</f>
        <v/>
      </c>
      <c r="Z36" s="130" t="str">
        <f>+X36</f>
        <v/>
      </c>
      <c r="AA36" s="129" t="str">
        <f>IFERROR(IF(AB36="","",IF(AB36&lt;=0.2,"Leve",IF(AB36&lt;=0.4,"Menor",IF(AB36&lt;=0.6,"Moderado",IF(AB36&lt;=0.8,"Mayor","Catastrófico"))))),"")</f>
        <v/>
      </c>
      <c r="AB36" s="130" t="str">
        <f>IFERROR(IF(Q36="Impacto",(M36-(+M36*T36)),IF(Q36="Probabilidad",M36,"")),"")</f>
        <v/>
      </c>
      <c r="AC36" s="131"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8" hidden="1" customHeight="1" x14ac:dyDescent="0.3">
      <c r="A37" s="268"/>
      <c r="B37" s="259"/>
      <c r="C37" s="259"/>
      <c r="D37" s="259"/>
      <c r="E37" s="271"/>
      <c r="F37" s="259"/>
      <c r="G37" s="262"/>
      <c r="H37" s="265"/>
      <c r="I37" s="277"/>
      <c r="J37" s="280"/>
      <c r="K37" s="277">
        <f>IF(NOT(ISERROR(MATCH(J37,_xlfn.ANCHORARRAY(E48),0))),#REF!&amp;"Por favor no seleccionar los criterios de impacto",J37)</f>
        <v>0</v>
      </c>
      <c r="L37" s="265"/>
      <c r="M37" s="277"/>
      <c r="N37" s="274"/>
      <c r="O37" s="123">
        <v>2</v>
      </c>
      <c r="P37" s="124"/>
      <c r="Q37" s="125" t="str">
        <f>IF(OR(R37="Preventivo",R37="Detectivo"),"Probabilidad",IF(R37="Correctivo","Impacto",""))</f>
        <v/>
      </c>
      <c r="R37" s="126"/>
      <c r="S37" s="126"/>
      <c r="T37" s="127" t="str">
        <f t="shared" ref="T37:T41" si="13">IF(AND(R37="Preventivo",S37="Automático"),"50%",IF(AND(R37="Preventivo",S37="Manual"),"40%",IF(AND(R37="Detectivo",S37="Automático"),"40%",IF(AND(R37="Detectivo",S37="Manual"),"30%",IF(AND(R37="Correctivo",S37="Automático"),"35%",IF(AND(R37="Correctivo",S37="Manual"),"25%",""))))))</f>
        <v/>
      </c>
      <c r="U37" s="126"/>
      <c r="V37" s="126"/>
      <c r="W37" s="126"/>
      <c r="X37" s="128" t="str">
        <f>IFERROR(IF(AND(Q36="Probabilidad",Q37="Probabilidad"),(Z36-(+Z36*T37)),IF(Q37="Probabilidad",(I36-(+I36*T37)),IF(Q37="Impacto",Z36,""))),"")</f>
        <v/>
      </c>
      <c r="Y37" s="129" t="str">
        <f t="shared" si="1"/>
        <v/>
      </c>
      <c r="Z37" s="130" t="str">
        <f t="shared" ref="Z37:Z41" si="14">+X37</f>
        <v/>
      </c>
      <c r="AA37" s="129" t="str">
        <f t="shared" si="3"/>
        <v/>
      </c>
      <c r="AB37" s="130" t="str">
        <f>IFERROR(IF(AND(Q36="Impacto",Q37="Impacto"),(AB36-(+AB36*T37)),IF(Q37="Impacto",(M36-(+M36*T37)),IF(Q37="Probabilidad",AB36,""))),"")</f>
        <v/>
      </c>
      <c r="AC37" s="131" t="str">
        <f t="shared" ref="AC37:AC38" si="15">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8" hidden="1" customHeight="1" x14ac:dyDescent="0.3">
      <c r="A38" s="268"/>
      <c r="B38" s="259"/>
      <c r="C38" s="259"/>
      <c r="D38" s="259"/>
      <c r="E38" s="271"/>
      <c r="F38" s="259"/>
      <c r="G38" s="262"/>
      <c r="H38" s="265"/>
      <c r="I38" s="277"/>
      <c r="J38" s="280"/>
      <c r="K38" s="277">
        <f>IF(NOT(ISERROR(MATCH(J38,_xlfn.ANCHORARRAY(E49),0))),#REF!&amp;"Por favor no seleccionar los criterios de impacto",J38)</f>
        <v>0</v>
      </c>
      <c r="L38" s="265"/>
      <c r="M38" s="277"/>
      <c r="N38" s="274"/>
      <c r="O38" s="123">
        <v>3</v>
      </c>
      <c r="P38" s="136"/>
      <c r="Q38" s="125" t="str">
        <f>IF(OR(R38="Preventivo",R38="Detectivo"),"Probabilidad",IF(R38="Correctivo","Impacto",""))</f>
        <v/>
      </c>
      <c r="R38" s="126"/>
      <c r="S38" s="126"/>
      <c r="T38" s="127" t="str">
        <f t="shared" si="13"/>
        <v/>
      </c>
      <c r="U38" s="126"/>
      <c r="V38" s="126"/>
      <c r="W38" s="126"/>
      <c r="X38" s="128" t="str">
        <f>IFERROR(IF(AND(Q37="Probabilidad",Q38="Probabilidad"),(Z37-(+Z37*T38)),IF(AND(Q37="Impacto",Q38="Probabilidad"),(Z36-(+Z36*T38)),IF(Q38="Impacto",Z37,""))),"")</f>
        <v/>
      </c>
      <c r="Y38" s="129" t="str">
        <f t="shared" si="1"/>
        <v/>
      </c>
      <c r="Z38" s="130" t="str">
        <f t="shared" si="14"/>
        <v/>
      </c>
      <c r="AA38" s="129" t="str">
        <f t="shared" si="3"/>
        <v/>
      </c>
      <c r="AB38" s="130" t="str">
        <f>IFERROR(IF(AND(Q37="Impacto",Q38="Impacto"),(AB37-(+AB37*T38)),IF(AND(Q37="Probabilidad",Q38="Impacto"),(AB36-(+AB36*T38)),IF(Q38="Probabilidad",AB37,""))),"")</f>
        <v/>
      </c>
      <c r="AC38" s="131" t="str">
        <f t="shared" si="15"/>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8" hidden="1" customHeight="1" x14ac:dyDescent="0.3">
      <c r="A39" s="268"/>
      <c r="B39" s="259"/>
      <c r="C39" s="259"/>
      <c r="D39" s="259"/>
      <c r="E39" s="271"/>
      <c r="F39" s="259"/>
      <c r="G39" s="262"/>
      <c r="H39" s="265"/>
      <c r="I39" s="277"/>
      <c r="J39" s="280"/>
      <c r="K39" s="277">
        <f>IF(NOT(ISERROR(MATCH(J39,_xlfn.ANCHORARRAY(#REF!),0))),#REF!&amp;"Por favor no seleccionar los criterios de impacto",J39)</f>
        <v>0</v>
      </c>
      <c r="L39" s="265"/>
      <c r="M39" s="277"/>
      <c r="N39" s="274"/>
      <c r="O39" s="123">
        <v>4</v>
      </c>
      <c r="P39" s="124"/>
      <c r="Q39" s="125" t="str">
        <f t="shared" ref="Q39:Q41" si="16">IF(OR(R39="Preventivo",R39="Detectivo"),"Probabilidad",IF(R39="Correctivo","Impacto",""))</f>
        <v/>
      </c>
      <c r="R39" s="126"/>
      <c r="S39" s="126"/>
      <c r="T39" s="127" t="str">
        <f t="shared" si="13"/>
        <v/>
      </c>
      <c r="U39" s="126"/>
      <c r="V39" s="126"/>
      <c r="W39" s="126"/>
      <c r="X39" s="128" t="str">
        <f t="shared" ref="X39:X41" si="17">IFERROR(IF(AND(Q38="Probabilidad",Q39="Probabilidad"),(Z38-(+Z38*T39)),IF(AND(Q38="Impacto",Q39="Probabilidad"),(Z37-(+Z37*T39)),IF(Q39="Impacto",Z38,""))),"")</f>
        <v/>
      </c>
      <c r="Y39" s="129" t="str">
        <f t="shared" si="1"/>
        <v/>
      </c>
      <c r="Z39" s="130" t="str">
        <f t="shared" si="14"/>
        <v/>
      </c>
      <c r="AA39" s="129" t="str">
        <f t="shared" si="3"/>
        <v/>
      </c>
      <c r="AB39" s="130" t="str">
        <f t="shared" ref="AB39:AB41" si="18">IFERROR(IF(AND(Q38="Impacto",Q39="Impacto"),(AB38-(+AB38*T39)),IF(AND(Q38="Probabilidad",Q39="Impacto"),(AB37-(+AB37*T39)),IF(Q39="Probabilidad",AB38,""))),"")</f>
        <v/>
      </c>
      <c r="AC39" s="131"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8" hidden="1" customHeight="1" x14ac:dyDescent="0.3">
      <c r="A40" s="268"/>
      <c r="B40" s="259"/>
      <c r="C40" s="259"/>
      <c r="D40" s="259"/>
      <c r="E40" s="271"/>
      <c r="F40" s="259"/>
      <c r="G40" s="262"/>
      <c r="H40" s="265"/>
      <c r="I40" s="277"/>
      <c r="J40" s="280"/>
      <c r="K40" s="277">
        <f>IF(NOT(ISERROR(MATCH(J40,_xlfn.ANCHORARRAY(#REF!),0))),#REF!&amp;"Por favor no seleccionar los criterios de impacto",J40)</f>
        <v>0</v>
      </c>
      <c r="L40" s="265"/>
      <c r="M40" s="277"/>
      <c r="N40" s="274"/>
      <c r="O40" s="123">
        <v>5</v>
      </c>
      <c r="P40" s="124"/>
      <c r="Q40" s="125" t="str">
        <f t="shared" si="16"/>
        <v/>
      </c>
      <c r="R40" s="126"/>
      <c r="S40" s="126"/>
      <c r="T40" s="127" t="str">
        <f t="shared" si="13"/>
        <v/>
      </c>
      <c r="U40" s="126"/>
      <c r="V40" s="126"/>
      <c r="W40" s="126"/>
      <c r="X40" s="128" t="str">
        <f t="shared" si="17"/>
        <v/>
      </c>
      <c r="Y40" s="129" t="str">
        <f t="shared" si="1"/>
        <v/>
      </c>
      <c r="Z40" s="130" t="str">
        <f t="shared" si="14"/>
        <v/>
      </c>
      <c r="AA40" s="129" t="str">
        <f t="shared" si="3"/>
        <v/>
      </c>
      <c r="AB40" s="130" t="str">
        <f t="shared" si="18"/>
        <v/>
      </c>
      <c r="AC40" s="131" t="str">
        <f t="shared" ref="AC40:AC41" si="19">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8" hidden="1" customHeight="1" x14ac:dyDescent="0.3">
      <c r="A41" s="269"/>
      <c r="B41" s="260"/>
      <c r="C41" s="260"/>
      <c r="D41" s="260"/>
      <c r="E41" s="272"/>
      <c r="F41" s="260"/>
      <c r="G41" s="263"/>
      <c r="H41" s="266"/>
      <c r="I41" s="278"/>
      <c r="J41" s="281"/>
      <c r="K41" s="278">
        <f>IF(NOT(ISERROR(MATCH(J41,_xlfn.ANCHORARRAY(#REF!),0))),I50&amp;"Por favor no seleccionar los criterios de impacto",J41)</f>
        <v>0</v>
      </c>
      <c r="L41" s="266"/>
      <c r="M41" s="278"/>
      <c r="N41" s="275"/>
      <c r="O41" s="123">
        <v>6</v>
      </c>
      <c r="P41" s="124"/>
      <c r="Q41" s="125" t="str">
        <f t="shared" si="16"/>
        <v/>
      </c>
      <c r="R41" s="126"/>
      <c r="S41" s="126"/>
      <c r="T41" s="127" t="str">
        <f t="shared" si="13"/>
        <v/>
      </c>
      <c r="U41" s="126"/>
      <c r="V41" s="126"/>
      <c r="W41" s="126"/>
      <c r="X41" s="128" t="str">
        <f t="shared" si="17"/>
        <v/>
      </c>
      <c r="Y41" s="129" t="str">
        <f t="shared" si="1"/>
        <v/>
      </c>
      <c r="Z41" s="130" t="str">
        <f t="shared" si="14"/>
        <v/>
      </c>
      <c r="AA41" s="129" t="str">
        <f t="shared" si="3"/>
        <v/>
      </c>
      <c r="AB41" s="130" t="str">
        <f t="shared" si="18"/>
        <v/>
      </c>
      <c r="AC41" s="131" t="str">
        <f t="shared" si="19"/>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8" hidden="1" customHeight="1" x14ac:dyDescent="0.3">
      <c r="A42" s="267">
        <v>6</v>
      </c>
      <c r="B42" s="258"/>
      <c r="C42" s="258"/>
      <c r="D42" s="258"/>
      <c r="E42" s="270"/>
      <c r="F42" s="258"/>
      <c r="G42" s="261"/>
      <c r="H42" s="264" t="str">
        <f>IF(G42&lt;=0,"",IF(G42&lt;=2,"Muy Baja",IF(G42&lt;=24,"Baja",IF(G42&lt;=500,"Media",IF(G42&lt;=5000,"Alta","Muy Alta")))))</f>
        <v/>
      </c>
      <c r="I42" s="276" t="str">
        <f>IF(H42="","",IF(H42="Muy Baja",0.2,IF(H42="Baja",0.4,IF(H42="Media",0.6,IF(H42="Alta",0.8,IF(H42="Muy Alta",1,))))))</f>
        <v/>
      </c>
      <c r="J42" s="279"/>
      <c r="K42" s="276">
        <f>IF(NOT(ISERROR(MATCH(J42,'Tabla Impacto'!$B$221:$B$223,0))),'Tabla Impacto'!$F$228&amp;"Por favor no seleccionar los criterios de impacto(Afectación Económica o presupuestal y Pérdida Reputacional)",J42)</f>
        <v>0</v>
      </c>
      <c r="L42" s="264" t="str">
        <f>IF(OR(K42='Tabla Impacto'!$C$11,K42='Tabla Impacto'!$D$11),"Leve",IF(OR(K42='Tabla Impacto'!$C$12,K42='Tabla Impacto'!$D$12),"Menor",IF(OR(K42='Tabla Impacto'!$C$13,K42='Tabla Impacto'!$D$13),"Moderado",IF(OR(K42='Tabla Impacto'!$C$14,K42='Tabla Impacto'!$D$14),"Mayor",IF(OR(K42='Tabla Impacto'!$C$15,K42='Tabla Impacto'!$D$15),"Catastrófico","")))))</f>
        <v/>
      </c>
      <c r="M42" s="276" t="str">
        <f>IF(L42="","",IF(L42="Leve",0.2,IF(L42="Menor",0.4,IF(L42="Moderado",0.6,IF(L42="Mayor",0.8,IF(L42="Catastrófico",1,))))))</f>
        <v/>
      </c>
      <c r="N42" s="27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23">
        <v>1</v>
      </c>
      <c r="P42" s="124"/>
      <c r="Q42" s="125" t="str">
        <f>IF(OR(R42="Preventivo",R42="Detectivo"),"Probabilidad",IF(R42="Correctivo","Impacto",""))</f>
        <v/>
      </c>
      <c r="R42" s="126"/>
      <c r="S42" s="126"/>
      <c r="T42" s="127" t="str">
        <f>IF(AND(R42="Preventivo",S42="Automático"),"50%",IF(AND(R42="Preventivo",S42="Manual"),"40%",IF(AND(R42="Detectivo",S42="Automático"),"40%",IF(AND(R42="Detectivo",S42="Manual"),"30%",IF(AND(R42="Correctivo",S42="Automático"),"35%",IF(AND(R42="Correctivo",S42="Manual"),"25%",""))))))</f>
        <v/>
      </c>
      <c r="U42" s="126"/>
      <c r="V42" s="126"/>
      <c r="W42" s="126"/>
      <c r="X42" s="128" t="str">
        <f>IFERROR(IF(Q42="Probabilidad",(I42-(+I42*T42)),IF(Q42="Impacto",I42,"")),"")</f>
        <v/>
      </c>
      <c r="Y42" s="129" t="str">
        <f>IFERROR(IF(X42="","",IF(X42&lt;=0.2,"Muy Baja",IF(X42&lt;=0.4,"Baja",IF(X42&lt;=0.6,"Media",IF(X42&lt;=0.8,"Alta","Muy Alta"))))),"")</f>
        <v/>
      </c>
      <c r="Z42" s="130" t="str">
        <f>+X42</f>
        <v/>
      </c>
      <c r="AA42" s="129" t="str">
        <f>IFERROR(IF(AB42="","",IF(AB42&lt;=0.2,"Leve",IF(AB42&lt;=0.4,"Menor",IF(AB42&lt;=0.6,"Moderado",IF(AB42&lt;=0.8,"Mayor","Catastrófico"))))),"")</f>
        <v/>
      </c>
      <c r="AB42" s="130" t="str">
        <f>IFERROR(IF(Q42="Impacto",(M42-(+M42*T42)),IF(Q42="Probabilidad",M42,"")),"")</f>
        <v/>
      </c>
      <c r="AC42" s="131"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8" hidden="1" customHeight="1" x14ac:dyDescent="0.3">
      <c r="A43" s="268"/>
      <c r="B43" s="259"/>
      <c r="C43" s="259"/>
      <c r="D43" s="259"/>
      <c r="E43" s="271"/>
      <c r="F43" s="259"/>
      <c r="G43" s="262"/>
      <c r="H43" s="265"/>
      <c r="I43" s="277"/>
      <c r="J43" s="280"/>
      <c r="K43" s="277">
        <f>IF(NOT(ISERROR(MATCH(J43,_xlfn.ANCHORARRAY(E50),0))),I52&amp;"Por favor no seleccionar los criterios de impacto",J43)</f>
        <v>0</v>
      </c>
      <c r="L43" s="265"/>
      <c r="M43" s="277"/>
      <c r="N43" s="274"/>
      <c r="O43" s="123">
        <v>2</v>
      </c>
      <c r="P43" s="124"/>
      <c r="Q43" s="125" t="str">
        <f>IF(OR(R43="Preventivo",R43="Detectivo"),"Probabilidad",IF(R43="Correctivo","Impacto",""))</f>
        <v/>
      </c>
      <c r="R43" s="126"/>
      <c r="S43" s="126"/>
      <c r="T43" s="127" t="str">
        <f t="shared" ref="T43:T47" si="20">IF(AND(R43="Preventivo",S43="Automático"),"50%",IF(AND(R43="Preventivo",S43="Manual"),"40%",IF(AND(R43="Detectivo",S43="Automático"),"40%",IF(AND(R43="Detectivo",S43="Manual"),"30%",IF(AND(R43="Correctivo",S43="Automático"),"35%",IF(AND(R43="Correctivo",S43="Manual"),"25%",""))))))</f>
        <v/>
      </c>
      <c r="U43" s="126"/>
      <c r="V43" s="126"/>
      <c r="W43" s="126"/>
      <c r="X43" s="128" t="str">
        <f>IFERROR(IF(AND(Q42="Probabilidad",Q43="Probabilidad"),(Z42-(+Z42*T43)),IF(Q43="Probabilidad",(I42-(+I42*T43)),IF(Q43="Impacto",Z42,""))),"")</f>
        <v/>
      </c>
      <c r="Y43" s="129" t="str">
        <f t="shared" si="1"/>
        <v/>
      </c>
      <c r="Z43" s="130" t="str">
        <f t="shared" ref="Z43:Z47" si="21">+X43</f>
        <v/>
      </c>
      <c r="AA43" s="129" t="str">
        <f t="shared" si="3"/>
        <v/>
      </c>
      <c r="AB43" s="130" t="str">
        <f>IFERROR(IF(AND(Q42="Impacto",Q43="Impacto"),(AB42-(+AB42*T43)),IF(Q43="Impacto",(M42-(+M42*T43)),IF(Q43="Probabilidad",AB42,""))),"")</f>
        <v/>
      </c>
      <c r="AC43" s="131" t="str">
        <f t="shared" ref="AC43:AC44" si="22">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8" hidden="1" customHeight="1" x14ac:dyDescent="0.3">
      <c r="A44" s="268"/>
      <c r="B44" s="259"/>
      <c r="C44" s="259"/>
      <c r="D44" s="259"/>
      <c r="E44" s="271"/>
      <c r="F44" s="259"/>
      <c r="G44" s="262"/>
      <c r="H44" s="265"/>
      <c r="I44" s="277"/>
      <c r="J44" s="280"/>
      <c r="K44" s="277">
        <f>IF(NOT(ISERROR(MATCH(J44,_xlfn.ANCHORARRAY(E51),0))),I53&amp;"Por favor no seleccionar los criterios de impacto",J44)</f>
        <v>0</v>
      </c>
      <c r="L44" s="265"/>
      <c r="M44" s="277"/>
      <c r="N44" s="274"/>
      <c r="O44" s="123">
        <v>3</v>
      </c>
      <c r="P44" s="136"/>
      <c r="Q44" s="125" t="str">
        <f>IF(OR(R44="Preventivo",R44="Detectivo"),"Probabilidad",IF(R44="Correctivo","Impacto",""))</f>
        <v/>
      </c>
      <c r="R44" s="126"/>
      <c r="S44" s="126"/>
      <c r="T44" s="127" t="str">
        <f t="shared" si="20"/>
        <v/>
      </c>
      <c r="U44" s="126"/>
      <c r="V44" s="126"/>
      <c r="W44" s="126"/>
      <c r="X44" s="128" t="str">
        <f>IFERROR(IF(AND(Q43="Probabilidad",Q44="Probabilidad"),(Z43-(+Z43*T44)),IF(AND(Q43="Impacto",Q44="Probabilidad"),(Z42-(+Z42*T44)),IF(Q44="Impacto",Z43,""))),"")</f>
        <v/>
      </c>
      <c r="Y44" s="129" t="str">
        <f t="shared" si="1"/>
        <v/>
      </c>
      <c r="Z44" s="130" t="str">
        <f t="shared" si="21"/>
        <v/>
      </c>
      <c r="AA44" s="129" t="str">
        <f t="shared" si="3"/>
        <v/>
      </c>
      <c r="AB44" s="130" t="str">
        <f>IFERROR(IF(AND(Q43="Impacto",Q44="Impacto"),(AB43-(+AB43*T44)),IF(AND(Q43="Probabilidad",Q44="Impacto"),(AB42-(+AB42*T44)),IF(Q44="Probabilidad",AB43,""))),"")</f>
        <v/>
      </c>
      <c r="AC44" s="131" t="str">
        <f t="shared" si="22"/>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8" hidden="1" customHeight="1" x14ac:dyDescent="0.3">
      <c r="A45" s="268"/>
      <c r="B45" s="259"/>
      <c r="C45" s="259"/>
      <c r="D45" s="259"/>
      <c r="E45" s="271"/>
      <c r="F45" s="259"/>
      <c r="G45" s="262"/>
      <c r="H45" s="265"/>
      <c r="I45" s="277"/>
      <c r="J45" s="280"/>
      <c r="K45" s="277">
        <f>IF(NOT(ISERROR(MATCH(J45,_xlfn.ANCHORARRAY(E52),0))),I54&amp;"Por favor no seleccionar los criterios de impacto",J45)</f>
        <v>0</v>
      </c>
      <c r="L45" s="265"/>
      <c r="M45" s="277"/>
      <c r="N45" s="274"/>
      <c r="O45" s="123">
        <v>4</v>
      </c>
      <c r="P45" s="124"/>
      <c r="Q45" s="125" t="str">
        <f t="shared" ref="Q45:Q47" si="23">IF(OR(R45="Preventivo",R45="Detectivo"),"Probabilidad",IF(R45="Correctivo","Impacto",""))</f>
        <v/>
      </c>
      <c r="R45" s="126"/>
      <c r="S45" s="126"/>
      <c r="T45" s="127" t="str">
        <f t="shared" si="20"/>
        <v/>
      </c>
      <c r="U45" s="126"/>
      <c r="V45" s="126"/>
      <c r="W45" s="126"/>
      <c r="X45" s="128" t="str">
        <f t="shared" ref="X45:X47" si="24">IFERROR(IF(AND(Q44="Probabilidad",Q45="Probabilidad"),(Z44-(+Z44*T45)),IF(AND(Q44="Impacto",Q45="Probabilidad"),(Z43-(+Z43*T45)),IF(Q45="Impacto",Z44,""))),"")</f>
        <v/>
      </c>
      <c r="Y45" s="129" t="str">
        <f t="shared" si="1"/>
        <v/>
      </c>
      <c r="Z45" s="130" t="str">
        <f t="shared" si="21"/>
        <v/>
      </c>
      <c r="AA45" s="129" t="str">
        <f t="shared" si="3"/>
        <v/>
      </c>
      <c r="AB45" s="130" t="str">
        <f t="shared" ref="AB45:AB47" si="25">IFERROR(IF(AND(Q44="Impacto",Q45="Impacto"),(AB44-(+AB44*T45)),IF(AND(Q44="Probabilidad",Q45="Impacto"),(AB43-(+AB43*T45)),IF(Q45="Probabilidad",AB44,""))),"")</f>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8" hidden="1" customHeight="1" x14ac:dyDescent="0.3">
      <c r="A46" s="268"/>
      <c r="B46" s="259"/>
      <c r="C46" s="259"/>
      <c r="D46" s="259"/>
      <c r="E46" s="271"/>
      <c r="F46" s="259"/>
      <c r="G46" s="262"/>
      <c r="H46" s="265"/>
      <c r="I46" s="277"/>
      <c r="J46" s="280"/>
      <c r="K46" s="277">
        <f>IF(NOT(ISERROR(MATCH(J46,_xlfn.ANCHORARRAY(E53),0))),I55&amp;"Por favor no seleccionar los criterios de impacto",J46)</f>
        <v>0</v>
      </c>
      <c r="L46" s="265"/>
      <c r="M46" s="277"/>
      <c r="N46" s="274"/>
      <c r="O46" s="123">
        <v>5</v>
      </c>
      <c r="P46" s="124"/>
      <c r="Q46" s="125" t="str">
        <f t="shared" si="23"/>
        <v/>
      </c>
      <c r="R46" s="126"/>
      <c r="S46" s="126"/>
      <c r="T46" s="127" t="str">
        <f t="shared" si="20"/>
        <v/>
      </c>
      <c r="U46" s="126"/>
      <c r="V46" s="126"/>
      <c r="W46" s="126"/>
      <c r="X46" s="128" t="str">
        <f t="shared" si="24"/>
        <v/>
      </c>
      <c r="Y46" s="129" t="str">
        <f t="shared" si="1"/>
        <v/>
      </c>
      <c r="Z46" s="130" t="str">
        <f t="shared" si="21"/>
        <v/>
      </c>
      <c r="AA46" s="129" t="str">
        <f t="shared" si="3"/>
        <v/>
      </c>
      <c r="AB46" s="130" t="str">
        <f t="shared" si="25"/>
        <v/>
      </c>
      <c r="AC46" s="131" t="str">
        <f t="shared" ref="AC46" si="26">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8" hidden="1" customHeight="1" x14ac:dyDescent="0.3">
      <c r="A47" s="269"/>
      <c r="B47" s="260"/>
      <c r="C47" s="260"/>
      <c r="D47" s="260"/>
      <c r="E47" s="272"/>
      <c r="F47" s="260"/>
      <c r="G47" s="263"/>
      <c r="H47" s="266"/>
      <c r="I47" s="278"/>
      <c r="J47" s="281"/>
      <c r="K47" s="278">
        <f>IF(NOT(ISERROR(MATCH(J47,_xlfn.ANCHORARRAY(E54),0))),I56&amp;"Por favor no seleccionar los criterios de impacto",J47)</f>
        <v>0</v>
      </c>
      <c r="L47" s="266"/>
      <c r="M47" s="278"/>
      <c r="N47" s="275"/>
      <c r="O47" s="123">
        <v>6</v>
      </c>
      <c r="P47" s="124"/>
      <c r="Q47" s="125" t="str">
        <f t="shared" si="23"/>
        <v/>
      </c>
      <c r="R47" s="126"/>
      <c r="S47" s="126"/>
      <c r="T47" s="127" t="str">
        <f t="shared" si="20"/>
        <v/>
      </c>
      <c r="U47" s="126"/>
      <c r="V47" s="126"/>
      <c r="W47" s="126"/>
      <c r="X47" s="128" t="str">
        <f t="shared" si="24"/>
        <v/>
      </c>
      <c r="Y47" s="129" t="str">
        <f t="shared" si="1"/>
        <v/>
      </c>
      <c r="Z47" s="130" t="str">
        <f t="shared" si="21"/>
        <v/>
      </c>
      <c r="AA47" s="129" t="str">
        <f>IFERROR(IF(AB47="","",IF(AB47&lt;=0.2,"Leve",IF(AB47&lt;=0.4,"Menor",IF(AB47&lt;=0.6,"Moderado",IF(AB47&lt;=0.8,"Mayor","Catastrófico"))))),"")</f>
        <v/>
      </c>
      <c r="AB47" s="130" t="str">
        <f t="shared" si="25"/>
        <v/>
      </c>
      <c r="AC47" s="131"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75" hidden="1" customHeight="1" x14ac:dyDescent="0.3">
      <c r="A48" s="267">
        <v>7</v>
      </c>
      <c r="B48" s="309"/>
      <c r="C48" s="315"/>
      <c r="D48" s="311"/>
      <c r="E48" s="313"/>
      <c r="F48" s="309"/>
      <c r="G48" s="319"/>
      <c r="H48" s="307" t="str">
        <f>IF(G48&lt;=0,"",IF(G48&lt;=2,"Muy Baja",IF(G48&lt;=24,"Baja",IF(G48&lt;=500,"Media",IF(G48&lt;=5000,"Alta","Muy Alta")))))</f>
        <v/>
      </c>
      <c r="I48" s="305" t="str">
        <f>IF(H48="","",IF(H48="Muy Baja",0.2,IF(H48="Baja",0.4,IF(H48="Media",0.6,IF(H48="Alta",0.8,IF(H48="Muy Alta",1,))))))</f>
        <v/>
      </c>
      <c r="J48" s="303"/>
      <c r="K48" s="305">
        <f>IF(NOT(ISERROR(MATCH(J48,'Tabla Impacto'!$B$221:$B$223,0))),'Tabla Impacto'!$F$228&amp;"Por favor no seleccionar los criterios de impacto(Afectación Económica o presupuestal y Pérdida Reputacional)",J48)</f>
        <v>0</v>
      </c>
      <c r="L48" s="307"/>
      <c r="M48" s="305" t="str">
        <f>IF(L48="","",IF(L48="Leve",0.2,IF(L48="Menor",0.4,IF(L48="Moderado",0.6,IF(L48="Mayor",0.8,IF(L48="Catastrófico",1,))))))</f>
        <v/>
      </c>
      <c r="N48" s="317"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267">
        <v>1</v>
      </c>
      <c r="P48" s="335"/>
      <c r="Q48" s="337" t="str">
        <f>IF(OR(R48="Preventivo",R48="Detectivo"),"Probabilidad",IF(R48="Correctivo","Impacto",""))</f>
        <v/>
      </c>
      <c r="R48" s="339"/>
      <c r="S48" s="339"/>
      <c r="T48" s="341" t="str">
        <f>IF(AND(R48="Preventivo",S48="Automático"),"50%",IF(AND(R48="Preventivo",S48="Manual"),"40%",IF(AND(R48="Detectivo",S48="Automático"),"40%",IF(AND(R48="Detectivo",S48="Manual"),"30%",IF(AND(R48="Correctivo",S48="Automático"),"35%",IF(AND(R48="Correctivo",S48="Manual"),"25%",""))))))</f>
        <v/>
      </c>
      <c r="U48" s="339"/>
      <c r="V48" s="339"/>
      <c r="W48" s="339"/>
      <c r="X48" s="186" t="str">
        <f>IFERROR(IF(Q48="Probabilidad",(I48-(+I48*T48)),IF(Q48="Impacto",I48,"")),"")</f>
        <v/>
      </c>
      <c r="Y48" s="343" t="str">
        <f>IFERROR(IF(X48="","",IF(X48&lt;=0.2,"Muy Baja",IF(X48&lt;=0.4,"Baja",IF(X48&lt;=0.6,"Media",IF(X48&lt;=0.8,"Alta","Muy Alta"))))),"")</f>
        <v/>
      </c>
      <c r="Z48" s="341" t="str">
        <f>+X48</f>
        <v/>
      </c>
      <c r="AA48" s="343" t="str">
        <f>IFERROR(IF(AB48="","",IF(AB48&lt;=0.2,"Leve",IF(AB48&lt;=0.4,"Menor",IF(AB48&lt;=0.6,"Moderado",IF(AB48&lt;=0.8,"Mayor","Catastrófico"))))),"")</f>
        <v/>
      </c>
      <c r="AB48" s="341" t="str">
        <f>IFERROR(IF(Q48="Impacto",(M48-(+M48*T48)),IF(Q48="Probabilidad",M48,"")),"")</f>
        <v/>
      </c>
      <c r="AC48" s="345"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339"/>
      <c r="AE48" s="258"/>
      <c r="AF48" s="258"/>
      <c r="AG48" s="258"/>
      <c r="AH48" s="258"/>
      <c r="AI48" s="258"/>
      <c r="AJ48" s="25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3.5" hidden="1" customHeight="1" x14ac:dyDescent="0.3">
      <c r="A49" s="268"/>
      <c r="B49" s="310"/>
      <c r="C49" s="316"/>
      <c r="D49" s="312"/>
      <c r="E49" s="314"/>
      <c r="F49" s="310"/>
      <c r="G49" s="320"/>
      <c r="H49" s="308"/>
      <c r="I49" s="306"/>
      <c r="J49" s="304"/>
      <c r="K49" s="306">
        <f>IF(NOT(ISERROR(MATCH(J49,_xlfn.ANCHORARRAY(E56),0))),I58&amp;"Por favor no seleccionar los criterios de impacto",J49)</f>
        <v>0</v>
      </c>
      <c r="L49" s="308"/>
      <c r="M49" s="306"/>
      <c r="N49" s="318"/>
      <c r="O49" s="269"/>
      <c r="P49" s="336"/>
      <c r="Q49" s="338"/>
      <c r="R49" s="340"/>
      <c r="S49" s="340"/>
      <c r="T49" s="342"/>
      <c r="U49" s="340"/>
      <c r="V49" s="340"/>
      <c r="W49" s="340"/>
      <c r="X49" s="128" t="str">
        <f>IFERROR(IF(AND(Q48="Probabilidad",Q49="Probabilidad"),(Z48-(+Z48*T49)),IF(Q49="Probabilidad",(I48-(+I48*T49)),IF(Q49="Impacto",Z48,""))),"")</f>
        <v/>
      </c>
      <c r="Y49" s="344"/>
      <c r="Z49" s="342"/>
      <c r="AA49" s="344"/>
      <c r="AB49" s="342"/>
      <c r="AC49" s="346"/>
      <c r="AD49" s="340"/>
      <c r="AE49" s="260"/>
      <c r="AF49" s="260"/>
      <c r="AG49" s="260"/>
      <c r="AH49" s="260"/>
      <c r="AI49" s="260"/>
      <c r="AJ49" s="260"/>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8" hidden="1" customHeight="1" x14ac:dyDescent="0.3">
      <c r="A50" s="267">
        <v>8</v>
      </c>
      <c r="B50" s="258"/>
      <c r="C50" s="258"/>
      <c r="D50" s="258"/>
      <c r="E50" s="270"/>
      <c r="F50" s="258"/>
      <c r="G50" s="261"/>
      <c r="H50" s="264" t="str">
        <f>IF(G50&lt;=0,"",IF(G50&lt;=2,"Muy Baja",IF(G50&lt;=24,"Baja",IF(G50&lt;=500,"Media",IF(G50&lt;=5000,"Alta","Muy Alta")))))</f>
        <v/>
      </c>
      <c r="I50" s="276" t="str">
        <f>IF(H50="","",IF(H50="Muy Baja",0.2,IF(H50="Baja",0.4,IF(H50="Media",0.6,IF(H50="Alta",0.8,IF(H50="Muy Alta",1,))))))</f>
        <v/>
      </c>
      <c r="J50" s="279"/>
      <c r="K50" s="276">
        <f>IF(NOT(ISERROR(MATCH(J50,'Tabla Impacto'!$B$221:$B$223,0))),'Tabla Impacto'!$F$228&amp;"Por favor no seleccionar los criterios de impacto(Afectación Económica o presupuestal y Pérdida Reputacional)",J50)</f>
        <v>0</v>
      </c>
      <c r="L50" s="264" t="str">
        <f>IF(OR(K50='Tabla Impacto'!$C$11,K50='Tabla Impacto'!$D$11),"Leve",IF(OR(K50='Tabla Impacto'!$C$12,K50='Tabla Impacto'!$D$12),"Menor",IF(OR(K50='Tabla Impacto'!$C$13,K50='Tabla Impacto'!$D$13),"Moderado",IF(OR(K50='Tabla Impacto'!$C$14,K50='Tabla Impacto'!$D$14),"Mayor",IF(OR(K50='Tabla Impacto'!$C$15,K50='Tabla Impacto'!$D$15),"Catastrófico","")))))</f>
        <v/>
      </c>
      <c r="M50" s="276" t="str">
        <f>IF(L50="","",IF(L50="Leve",0.2,IF(L50="Menor",0.4,IF(L50="Moderado",0.6,IF(L50="Mayor",0.8,IF(L50="Catastrófico",1,))))))</f>
        <v/>
      </c>
      <c r="N50" s="273"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
      </c>
      <c r="O50" s="123">
        <v>1</v>
      </c>
      <c r="P50" s="124"/>
      <c r="Q50" s="125" t="str">
        <f>IF(OR(R50="Preventivo",R50="Detectivo"),"Probabilidad",IF(R50="Correctivo","Impacto",""))</f>
        <v/>
      </c>
      <c r="R50" s="126"/>
      <c r="S50" s="126"/>
      <c r="T50" s="127" t="str">
        <f>IF(AND(R50="Preventivo",S50="Automático"),"50%",IF(AND(R50="Preventivo",S50="Manual"),"40%",IF(AND(R50="Detectivo",S50="Automático"),"40%",IF(AND(R50="Detectivo",S50="Manual"),"30%",IF(AND(R50="Correctivo",S50="Automático"),"35%",IF(AND(R50="Correctivo",S50="Manual"),"25%",""))))))</f>
        <v/>
      </c>
      <c r="U50" s="126"/>
      <c r="V50" s="126"/>
      <c r="W50" s="126"/>
      <c r="X50" s="128" t="str">
        <f>IFERROR(IF(Q50="Probabilidad",(I50-(+I50*T50)),IF(Q50="Impacto",I50,"")),"")</f>
        <v/>
      </c>
      <c r="Y50" s="129" t="str">
        <f>IFERROR(IF(X50="","",IF(X50&lt;=0.2,"Muy Baja",IF(X50&lt;=0.4,"Baja",IF(X50&lt;=0.6,"Media",IF(X50&lt;=0.8,"Alta","Muy Alta"))))),"")</f>
        <v/>
      </c>
      <c r="Z50" s="130" t="str">
        <f>+X50</f>
        <v/>
      </c>
      <c r="AA50" s="129" t="str">
        <f>IFERROR(IF(AB50="","",IF(AB50&lt;=0.2,"Leve",IF(AB50&lt;=0.4,"Menor",IF(AB50&lt;=0.6,"Moderado",IF(AB50&lt;=0.8,"Mayor","Catastrófico"))))),"")</f>
        <v/>
      </c>
      <c r="AB50" s="130" t="str">
        <f>IFERROR(IF(Q50="Impacto",(M50-(+M50*T50)),IF(Q50="Probabilidad",M50,"")),"")</f>
        <v/>
      </c>
      <c r="AC50" s="131"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8" hidden="1" customHeight="1" x14ac:dyDescent="0.3">
      <c r="A51" s="268"/>
      <c r="B51" s="259"/>
      <c r="C51" s="259"/>
      <c r="D51" s="259"/>
      <c r="E51" s="271"/>
      <c r="F51" s="259"/>
      <c r="G51" s="262"/>
      <c r="H51" s="265"/>
      <c r="I51" s="277"/>
      <c r="J51" s="280"/>
      <c r="K51" s="277">
        <f>IF(NOT(ISERROR(MATCH(J51,_xlfn.ANCHORARRAY(E62),0))),I64&amp;"Por favor no seleccionar los criterios de impacto",J51)</f>
        <v>0</v>
      </c>
      <c r="L51" s="265"/>
      <c r="M51" s="277"/>
      <c r="N51" s="274"/>
      <c r="O51" s="123">
        <v>2</v>
      </c>
      <c r="P51" s="124"/>
      <c r="Q51" s="125" t="str">
        <f>IF(OR(R51="Preventivo",R51="Detectivo"),"Probabilidad",IF(R51="Correctivo","Impacto",""))</f>
        <v/>
      </c>
      <c r="R51" s="126"/>
      <c r="S51" s="126"/>
      <c r="T51" s="127" t="str">
        <f t="shared" ref="T51:T55" si="27">IF(AND(R51="Preventivo",S51="Automático"),"50%",IF(AND(R51="Preventivo",S51="Manual"),"40%",IF(AND(R51="Detectivo",S51="Automático"),"40%",IF(AND(R51="Detectivo",S51="Manual"),"30%",IF(AND(R51="Correctivo",S51="Automático"),"35%",IF(AND(R51="Correctivo",S51="Manual"),"25%",""))))))</f>
        <v/>
      </c>
      <c r="U51" s="126"/>
      <c r="V51" s="126"/>
      <c r="W51" s="126"/>
      <c r="X51" s="128" t="str">
        <f>IFERROR(IF(AND(Q50="Probabilidad",Q51="Probabilidad"),(Z50-(+Z50*T51)),IF(Q51="Probabilidad",(I50-(+I50*T51)),IF(Q51="Impacto",Z50,""))),"")</f>
        <v/>
      </c>
      <c r="Y51" s="129" t="str">
        <f t="shared" si="1"/>
        <v/>
      </c>
      <c r="Z51" s="130" t="str">
        <f t="shared" ref="Z51:Z55" si="28">+X51</f>
        <v/>
      </c>
      <c r="AA51" s="129" t="str">
        <f t="shared" si="3"/>
        <v/>
      </c>
      <c r="AB51" s="130" t="str">
        <f>IFERROR(IF(AND(Q50="Impacto",Q51="Impacto"),(AB50-(+AB50*T51)),IF(Q51="Impacto",(M50-(+M50*T51)),IF(Q51="Probabilidad",AB50,""))),"")</f>
        <v/>
      </c>
      <c r="AC51" s="131" t="str">
        <f t="shared" ref="AC51:AC52" si="29">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8" hidden="1" customHeight="1" x14ac:dyDescent="0.3">
      <c r="A52" s="268"/>
      <c r="B52" s="259"/>
      <c r="C52" s="259"/>
      <c r="D52" s="259"/>
      <c r="E52" s="271"/>
      <c r="F52" s="259"/>
      <c r="G52" s="262"/>
      <c r="H52" s="265"/>
      <c r="I52" s="277"/>
      <c r="J52" s="280"/>
      <c r="K52" s="277">
        <f>IF(NOT(ISERROR(MATCH(J52,_xlfn.ANCHORARRAY(E63),0))),I65&amp;"Por favor no seleccionar los criterios de impacto",J52)</f>
        <v>0</v>
      </c>
      <c r="L52" s="265"/>
      <c r="M52" s="277"/>
      <c r="N52" s="274"/>
      <c r="O52" s="123">
        <v>3</v>
      </c>
      <c r="P52" s="136"/>
      <c r="Q52" s="125" t="str">
        <f>IF(OR(R52="Preventivo",R52="Detectivo"),"Probabilidad",IF(R52="Correctivo","Impacto",""))</f>
        <v/>
      </c>
      <c r="R52" s="126"/>
      <c r="S52" s="126"/>
      <c r="T52" s="127" t="str">
        <f t="shared" si="27"/>
        <v/>
      </c>
      <c r="U52" s="126"/>
      <c r="V52" s="126"/>
      <c r="W52" s="126"/>
      <c r="X52" s="128" t="str">
        <f>IFERROR(IF(AND(Q51="Probabilidad",Q52="Probabilidad"),(Z51-(+Z51*T52)),IF(AND(Q51="Impacto",Q52="Probabilidad"),(Z50-(+Z50*T52)),IF(Q52="Impacto",Z51,""))),"")</f>
        <v/>
      </c>
      <c r="Y52" s="129" t="str">
        <f t="shared" si="1"/>
        <v/>
      </c>
      <c r="Z52" s="130" t="str">
        <f t="shared" si="28"/>
        <v/>
      </c>
      <c r="AA52" s="129" t="str">
        <f t="shared" si="3"/>
        <v/>
      </c>
      <c r="AB52" s="130" t="str">
        <f>IFERROR(IF(AND(Q51="Impacto",Q52="Impacto"),(AB51-(+AB51*T52)),IF(AND(Q51="Probabilidad",Q52="Impacto"),(AB50-(+AB50*T52)),IF(Q52="Probabilidad",AB51,""))),"")</f>
        <v/>
      </c>
      <c r="AC52" s="131" t="str">
        <f t="shared" si="29"/>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8" hidden="1" customHeight="1" x14ac:dyDescent="0.3">
      <c r="A53" s="268"/>
      <c r="B53" s="259"/>
      <c r="C53" s="259"/>
      <c r="D53" s="259"/>
      <c r="E53" s="271"/>
      <c r="F53" s="259"/>
      <c r="G53" s="262"/>
      <c r="H53" s="265"/>
      <c r="I53" s="277"/>
      <c r="J53" s="280"/>
      <c r="K53" s="277">
        <f>IF(NOT(ISERROR(MATCH(J53,_xlfn.ANCHORARRAY(E64),0))),I66&amp;"Por favor no seleccionar los criterios de impacto",J53)</f>
        <v>0</v>
      </c>
      <c r="L53" s="265"/>
      <c r="M53" s="277"/>
      <c r="N53" s="274"/>
      <c r="O53" s="123">
        <v>4</v>
      </c>
      <c r="P53" s="124"/>
      <c r="Q53" s="125" t="str">
        <f t="shared" ref="Q53:Q55" si="30">IF(OR(R53="Preventivo",R53="Detectivo"),"Probabilidad",IF(R53="Correctivo","Impacto",""))</f>
        <v/>
      </c>
      <c r="R53" s="126"/>
      <c r="S53" s="126"/>
      <c r="T53" s="127" t="str">
        <f t="shared" si="27"/>
        <v/>
      </c>
      <c r="U53" s="126"/>
      <c r="V53" s="126"/>
      <c r="W53" s="126"/>
      <c r="X53" s="128" t="str">
        <f t="shared" ref="X53:X55" si="31">IFERROR(IF(AND(Q52="Probabilidad",Q53="Probabilidad"),(Z52-(+Z52*T53)),IF(AND(Q52="Impacto",Q53="Probabilidad"),(Z51-(+Z51*T53)),IF(Q53="Impacto",Z52,""))),"")</f>
        <v/>
      </c>
      <c r="Y53" s="129" t="str">
        <f t="shared" si="1"/>
        <v/>
      </c>
      <c r="Z53" s="130" t="str">
        <f t="shared" si="28"/>
        <v/>
      </c>
      <c r="AA53" s="129" t="str">
        <f t="shared" si="3"/>
        <v/>
      </c>
      <c r="AB53" s="130" t="str">
        <f t="shared" ref="AB53:AB55" si="32">IFERROR(IF(AND(Q52="Impacto",Q53="Impacto"),(AB52-(+AB52*T53)),IF(AND(Q52="Probabilidad",Q53="Impacto"),(AB51-(+AB51*T53)),IF(Q53="Probabilidad",AB52,""))),"")</f>
        <v/>
      </c>
      <c r="AC53" s="131"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8" hidden="1" customHeight="1" x14ac:dyDescent="0.3">
      <c r="A54" s="268"/>
      <c r="B54" s="259"/>
      <c r="C54" s="259"/>
      <c r="D54" s="259"/>
      <c r="E54" s="271"/>
      <c r="F54" s="259"/>
      <c r="G54" s="262"/>
      <c r="H54" s="265"/>
      <c r="I54" s="277"/>
      <c r="J54" s="280"/>
      <c r="K54" s="277">
        <f>IF(NOT(ISERROR(MATCH(J54,_xlfn.ANCHORARRAY(E65),0))),I67&amp;"Por favor no seleccionar los criterios de impacto",J54)</f>
        <v>0</v>
      </c>
      <c r="L54" s="265"/>
      <c r="M54" s="277"/>
      <c r="N54" s="274"/>
      <c r="O54" s="123">
        <v>5</v>
      </c>
      <c r="P54" s="124"/>
      <c r="Q54" s="125" t="str">
        <f t="shared" si="30"/>
        <v/>
      </c>
      <c r="R54" s="126"/>
      <c r="S54" s="126"/>
      <c r="T54" s="127" t="str">
        <f t="shared" si="27"/>
        <v/>
      </c>
      <c r="U54" s="126"/>
      <c r="V54" s="126"/>
      <c r="W54" s="126"/>
      <c r="X54" s="128" t="str">
        <f t="shared" si="31"/>
        <v/>
      </c>
      <c r="Y54" s="129" t="str">
        <f t="shared" si="1"/>
        <v/>
      </c>
      <c r="Z54" s="130" t="str">
        <f t="shared" si="28"/>
        <v/>
      </c>
      <c r="AA54" s="129" t="str">
        <f t="shared" si="3"/>
        <v/>
      </c>
      <c r="AB54" s="130" t="str">
        <f t="shared" si="32"/>
        <v/>
      </c>
      <c r="AC54" s="131" t="str">
        <f t="shared" ref="AC54:AC55" si="33">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8" hidden="1" customHeight="1" x14ac:dyDescent="0.3">
      <c r="A55" s="269"/>
      <c r="B55" s="260"/>
      <c r="C55" s="260"/>
      <c r="D55" s="260"/>
      <c r="E55" s="272"/>
      <c r="F55" s="260"/>
      <c r="G55" s="263"/>
      <c r="H55" s="266"/>
      <c r="I55" s="278"/>
      <c r="J55" s="281"/>
      <c r="K55" s="278">
        <f>IF(NOT(ISERROR(MATCH(J55,_xlfn.ANCHORARRAY(E66),0))),I68&amp;"Por favor no seleccionar los criterios de impacto",J55)</f>
        <v>0</v>
      </c>
      <c r="L55" s="266"/>
      <c r="M55" s="278"/>
      <c r="N55" s="275"/>
      <c r="O55" s="123">
        <v>6</v>
      </c>
      <c r="P55" s="124"/>
      <c r="Q55" s="125" t="str">
        <f t="shared" si="30"/>
        <v/>
      </c>
      <c r="R55" s="126"/>
      <c r="S55" s="126"/>
      <c r="T55" s="127" t="str">
        <f t="shared" si="27"/>
        <v/>
      </c>
      <c r="U55" s="126"/>
      <c r="V55" s="126"/>
      <c r="W55" s="126"/>
      <c r="X55" s="128" t="str">
        <f t="shared" si="31"/>
        <v/>
      </c>
      <c r="Y55" s="129" t="str">
        <f t="shared" si="1"/>
        <v/>
      </c>
      <c r="Z55" s="130" t="str">
        <f t="shared" si="28"/>
        <v/>
      </c>
      <c r="AA55" s="129" t="str">
        <f t="shared" si="3"/>
        <v/>
      </c>
      <c r="AB55" s="130" t="str">
        <f t="shared" si="32"/>
        <v/>
      </c>
      <c r="AC55" s="131" t="str">
        <f t="shared" si="33"/>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8" hidden="1" customHeight="1" x14ac:dyDescent="0.3">
      <c r="A56" s="267">
        <v>9</v>
      </c>
      <c r="B56" s="258"/>
      <c r="C56" s="258"/>
      <c r="D56" s="258"/>
      <c r="E56" s="270"/>
      <c r="F56" s="258"/>
      <c r="G56" s="261"/>
      <c r="H56" s="264" t="str">
        <f>IF(G56&lt;=0,"",IF(G56&lt;=2,"Muy Baja",IF(G56&lt;=24,"Baja",IF(G56&lt;=500,"Media",IF(G56&lt;=5000,"Alta","Muy Alta")))))</f>
        <v/>
      </c>
      <c r="I56" s="276" t="str">
        <f>IF(H56="","",IF(H56="Muy Baja",0.2,IF(H56="Baja",0.4,IF(H56="Media",0.6,IF(H56="Alta",0.8,IF(H56="Muy Alta",1,))))))</f>
        <v/>
      </c>
      <c r="J56" s="279"/>
      <c r="K56" s="276">
        <f>IF(NOT(ISERROR(MATCH(J56,'Tabla Impacto'!$B$221:$B$223,0))),'Tabla Impacto'!$F$228&amp;"Por favor no seleccionar los criterios de impacto(Afectación Económica o presupuestal y Pérdida Reputacional)",J56)</f>
        <v>0</v>
      </c>
      <c r="L56" s="264" t="str">
        <f>IF(OR(K56='Tabla Impacto'!$C$11,K56='Tabla Impacto'!$D$11),"Leve",IF(OR(K56='Tabla Impacto'!$C$12,K56='Tabla Impacto'!$D$12),"Menor",IF(OR(K56='Tabla Impacto'!$C$13,K56='Tabla Impacto'!$D$13),"Moderado",IF(OR(K56='Tabla Impacto'!$C$14,K56='Tabla Impacto'!$D$14),"Mayor",IF(OR(K56='Tabla Impacto'!$C$15,K56='Tabla Impacto'!$D$15),"Catastrófico","")))))</f>
        <v/>
      </c>
      <c r="M56" s="276" t="str">
        <f>IF(L56="","",IF(L56="Leve",0.2,IF(L56="Menor",0.4,IF(L56="Moderado",0.6,IF(L56="Mayor",0.8,IF(L56="Catastrófico",1,))))))</f>
        <v/>
      </c>
      <c r="N56" s="273" t="str">
        <f>IF(OR(AND(H56="Muy Baja",L56="Leve"),AND(H56="Muy Baja",L56="Menor"),AND(H56="Baja",L56="Leve")),"Bajo",IF(OR(AND(H56="Muy baja",L56="Moderado"),AND(H56="Baja",L56="Menor"),AND(H56="Baja",L56="Moderado"),AND(H56="Media",L56="Leve"),AND(H56="Media",L56="Menor"),AND(H56="Media",L56="Moderado"),AND(H56="Alta",L56="Leve"),AND(H56="Alta",L56="Menor")),"Moderado",IF(OR(AND(H56="Muy Baja",L56="Mayor"),AND(H56="Baja",L56="Mayor"),AND(H56="Media",L56="Mayor"),AND(H56="Alta",L56="Moderado"),AND(H56="Alta",L56="Mayor"),AND(H56="Muy Alta",L56="Leve"),AND(H56="Muy Alta",L56="Menor"),AND(H56="Muy Alta",L56="Moderado"),AND(H56="Muy Alta",L56="Mayor")),"Alto",IF(OR(AND(H56="Muy Baja",L56="Catastrófico"),AND(H56="Baja",L56="Catastrófico"),AND(H56="Media",L56="Catastrófico"),AND(H56="Alta",L56="Catastrófico"),AND(H56="Muy Alta",L56="Catastrófico")),"Extremo",""))))</f>
        <v/>
      </c>
      <c r="O56" s="123">
        <v>1</v>
      </c>
      <c r="P56" s="124"/>
      <c r="Q56" s="125" t="str">
        <f>IF(OR(R56="Preventivo",R56="Detectivo"),"Probabilidad",IF(R56="Correctivo","Impacto",""))</f>
        <v/>
      </c>
      <c r="R56" s="126"/>
      <c r="S56" s="126"/>
      <c r="T56" s="127" t="str">
        <f>IF(AND(R56="Preventivo",S56="Automático"),"50%",IF(AND(R56="Preventivo",S56="Manual"),"40%",IF(AND(R56="Detectivo",S56="Automático"),"40%",IF(AND(R56="Detectivo",S56="Manual"),"30%",IF(AND(R56="Correctivo",S56="Automático"),"35%",IF(AND(R56="Correctivo",S56="Manual"),"25%",""))))))</f>
        <v/>
      </c>
      <c r="U56" s="126"/>
      <c r="V56" s="126"/>
      <c r="W56" s="126"/>
      <c r="X56" s="128" t="str">
        <f>IFERROR(IF(Q56="Probabilidad",(I56-(+I56*T56)),IF(Q56="Impacto",I56,"")),"")</f>
        <v/>
      </c>
      <c r="Y56" s="129" t="str">
        <f>IFERROR(IF(X56="","",IF(X56&lt;=0.2,"Muy Baja",IF(X56&lt;=0.4,"Baja",IF(X56&lt;=0.6,"Media",IF(X56&lt;=0.8,"Alta","Muy Alta"))))),"")</f>
        <v/>
      </c>
      <c r="Z56" s="130" t="str">
        <f>+X56</f>
        <v/>
      </c>
      <c r="AA56" s="129" t="str">
        <f>IFERROR(IF(AB56="","",IF(AB56&lt;=0.2,"Leve",IF(AB56&lt;=0.4,"Menor",IF(AB56&lt;=0.6,"Moderado",IF(AB56&lt;=0.8,"Mayor","Catastrófico"))))),"")</f>
        <v/>
      </c>
      <c r="AB56" s="130" t="str">
        <f>IFERROR(IF(Q56="Impacto",(M56-(+M56*T56)),IF(Q56="Probabilidad",M56,"")),"")</f>
        <v/>
      </c>
      <c r="AC56" s="131"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8" hidden="1" customHeight="1" x14ac:dyDescent="0.3">
      <c r="A57" s="268"/>
      <c r="B57" s="259"/>
      <c r="C57" s="259"/>
      <c r="D57" s="259"/>
      <c r="E57" s="271"/>
      <c r="F57" s="259"/>
      <c r="G57" s="262"/>
      <c r="H57" s="265"/>
      <c r="I57" s="277"/>
      <c r="J57" s="280"/>
      <c r="K57" s="277">
        <f>IF(NOT(ISERROR(MATCH(J57,_xlfn.ANCHORARRAY(E68),0))),I70&amp;"Por favor no seleccionar los criterios de impacto",J57)</f>
        <v>0</v>
      </c>
      <c r="L57" s="265"/>
      <c r="M57" s="277"/>
      <c r="N57" s="274"/>
      <c r="O57" s="123">
        <v>2</v>
      </c>
      <c r="P57" s="124"/>
      <c r="Q57" s="125" t="str">
        <f>IF(OR(R57="Preventivo",R57="Detectivo"),"Probabilidad",IF(R57="Correctivo","Impacto",""))</f>
        <v/>
      </c>
      <c r="R57" s="126"/>
      <c r="S57" s="126"/>
      <c r="T57" s="127" t="str">
        <f t="shared" ref="T57:T61" si="34">IF(AND(R57="Preventivo",S57="Automático"),"50%",IF(AND(R57="Preventivo",S57="Manual"),"40%",IF(AND(R57="Detectivo",S57="Automático"),"40%",IF(AND(R57="Detectivo",S57="Manual"),"30%",IF(AND(R57="Correctivo",S57="Automático"),"35%",IF(AND(R57="Correctivo",S57="Manual"),"25%",""))))))</f>
        <v/>
      </c>
      <c r="U57" s="126"/>
      <c r="V57" s="126"/>
      <c r="W57" s="126"/>
      <c r="X57" s="128" t="str">
        <f>IFERROR(IF(AND(Q56="Probabilidad",Q57="Probabilidad"),(Z56-(+Z56*T57)),IF(Q57="Probabilidad",(I56-(+I56*T57)),IF(Q57="Impacto",Z56,""))),"")</f>
        <v/>
      </c>
      <c r="Y57" s="129" t="str">
        <f t="shared" si="1"/>
        <v/>
      </c>
      <c r="Z57" s="130" t="str">
        <f t="shared" ref="Z57:Z61" si="35">+X57</f>
        <v/>
      </c>
      <c r="AA57" s="129" t="str">
        <f t="shared" si="3"/>
        <v/>
      </c>
      <c r="AB57" s="130" t="str">
        <f>IFERROR(IF(AND(Q56="Impacto",Q57="Impacto"),(AB56-(+AB56*T57)),IF(Q57="Impacto",(M56-(+M56*T57)),IF(Q57="Probabilidad",AB56,""))),"")</f>
        <v/>
      </c>
      <c r="AC57" s="131" t="str">
        <f t="shared" ref="AC57:AC58" si="36">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8" hidden="1" customHeight="1" x14ac:dyDescent="0.3">
      <c r="A58" s="268"/>
      <c r="B58" s="259"/>
      <c r="C58" s="259"/>
      <c r="D58" s="259"/>
      <c r="E58" s="271"/>
      <c r="F58" s="259"/>
      <c r="G58" s="262"/>
      <c r="H58" s="265"/>
      <c r="I58" s="277"/>
      <c r="J58" s="280"/>
      <c r="K58" s="277">
        <f>IF(NOT(ISERROR(MATCH(J58,_xlfn.ANCHORARRAY(E69),0))),I71&amp;"Por favor no seleccionar los criterios de impacto",J58)</f>
        <v>0</v>
      </c>
      <c r="L58" s="265"/>
      <c r="M58" s="277"/>
      <c r="N58" s="274"/>
      <c r="O58" s="123">
        <v>3</v>
      </c>
      <c r="P58" s="136"/>
      <c r="Q58" s="125" t="str">
        <f>IF(OR(R58="Preventivo",R58="Detectivo"),"Probabilidad",IF(R58="Correctivo","Impacto",""))</f>
        <v/>
      </c>
      <c r="R58" s="126"/>
      <c r="S58" s="126"/>
      <c r="T58" s="127" t="str">
        <f t="shared" si="34"/>
        <v/>
      </c>
      <c r="U58" s="126"/>
      <c r="V58" s="126"/>
      <c r="W58" s="126"/>
      <c r="X58" s="128" t="str">
        <f>IFERROR(IF(AND(Q57="Probabilidad",Q58="Probabilidad"),(Z57-(+Z57*T58)),IF(AND(Q57="Impacto",Q58="Probabilidad"),(Z56-(+Z56*T58)),IF(Q58="Impacto",Z57,""))),"")</f>
        <v/>
      </c>
      <c r="Y58" s="129" t="str">
        <f t="shared" si="1"/>
        <v/>
      </c>
      <c r="Z58" s="130" t="str">
        <f t="shared" si="35"/>
        <v/>
      </c>
      <c r="AA58" s="129" t="str">
        <f t="shared" si="3"/>
        <v/>
      </c>
      <c r="AB58" s="130" t="str">
        <f>IFERROR(IF(AND(Q57="Impacto",Q58="Impacto"),(AB57-(+AB57*T58)),IF(AND(Q57="Probabilidad",Q58="Impacto"),(AB56-(+AB56*T58)),IF(Q58="Probabilidad",AB57,""))),"")</f>
        <v/>
      </c>
      <c r="AC58" s="131" t="str">
        <f t="shared" si="36"/>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8" hidden="1" customHeight="1" x14ac:dyDescent="0.3">
      <c r="A59" s="268"/>
      <c r="B59" s="259"/>
      <c r="C59" s="259"/>
      <c r="D59" s="259"/>
      <c r="E59" s="271"/>
      <c r="F59" s="259"/>
      <c r="G59" s="262"/>
      <c r="H59" s="265"/>
      <c r="I59" s="277"/>
      <c r="J59" s="280"/>
      <c r="K59" s="277">
        <f>IF(NOT(ISERROR(MATCH(J59,_xlfn.ANCHORARRAY(E70),0))),I72&amp;"Por favor no seleccionar los criterios de impacto",J59)</f>
        <v>0</v>
      </c>
      <c r="L59" s="265"/>
      <c r="M59" s="277"/>
      <c r="N59" s="274"/>
      <c r="O59" s="123">
        <v>4</v>
      </c>
      <c r="P59" s="124"/>
      <c r="Q59" s="125" t="str">
        <f t="shared" ref="Q59:Q61" si="37">IF(OR(R59="Preventivo",R59="Detectivo"),"Probabilidad",IF(R59="Correctivo","Impacto",""))</f>
        <v/>
      </c>
      <c r="R59" s="126"/>
      <c r="S59" s="126"/>
      <c r="T59" s="127" t="str">
        <f t="shared" si="34"/>
        <v/>
      </c>
      <c r="U59" s="126"/>
      <c r="V59" s="126"/>
      <c r="W59" s="126"/>
      <c r="X59" s="128" t="str">
        <f t="shared" ref="X59:X61" si="38">IFERROR(IF(AND(Q58="Probabilidad",Q59="Probabilidad"),(Z58-(+Z58*T59)),IF(AND(Q58="Impacto",Q59="Probabilidad"),(Z57-(+Z57*T59)),IF(Q59="Impacto",Z58,""))),"")</f>
        <v/>
      </c>
      <c r="Y59" s="129" t="str">
        <f t="shared" si="1"/>
        <v/>
      </c>
      <c r="Z59" s="130" t="str">
        <f t="shared" si="35"/>
        <v/>
      </c>
      <c r="AA59" s="129" t="str">
        <f t="shared" si="3"/>
        <v/>
      </c>
      <c r="AB59" s="130" t="str">
        <f t="shared" ref="AB59:AB61" si="39">IFERROR(IF(AND(Q58="Impacto",Q59="Impacto"),(AB58-(+AB58*T59)),IF(AND(Q58="Probabilidad",Q59="Impacto"),(AB57-(+AB57*T59)),IF(Q59="Probabilidad",AB58,""))),"")</f>
        <v/>
      </c>
      <c r="AC59" s="131"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8" hidden="1" customHeight="1" x14ac:dyDescent="0.3">
      <c r="A60" s="268"/>
      <c r="B60" s="259"/>
      <c r="C60" s="259"/>
      <c r="D60" s="259"/>
      <c r="E60" s="271"/>
      <c r="F60" s="259"/>
      <c r="G60" s="262"/>
      <c r="H60" s="265"/>
      <c r="I60" s="277"/>
      <c r="J60" s="280"/>
      <c r="K60" s="277">
        <f>IF(NOT(ISERROR(MATCH(J60,_xlfn.ANCHORARRAY(E71),0))),I73&amp;"Por favor no seleccionar los criterios de impacto",J60)</f>
        <v>0</v>
      </c>
      <c r="L60" s="265"/>
      <c r="M60" s="277"/>
      <c r="N60" s="274"/>
      <c r="O60" s="123">
        <v>5</v>
      </c>
      <c r="P60" s="124"/>
      <c r="Q60" s="125" t="str">
        <f t="shared" si="37"/>
        <v/>
      </c>
      <c r="R60" s="126"/>
      <c r="S60" s="126"/>
      <c r="T60" s="127" t="str">
        <f t="shared" si="34"/>
        <v/>
      </c>
      <c r="U60" s="126"/>
      <c r="V60" s="126"/>
      <c r="W60" s="126"/>
      <c r="X60" s="128" t="str">
        <f t="shared" si="38"/>
        <v/>
      </c>
      <c r="Y60" s="129" t="str">
        <f t="shared" si="1"/>
        <v/>
      </c>
      <c r="Z60" s="130" t="str">
        <f t="shared" si="35"/>
        <v/>
      </c>
      <c r="AA60" s="129" t="str">
        <f t="shared" si="3"/>
        <v/>
      </c>
      <c r="AB60" s="130" t="str">
        <f t="shared" si="39"/>
        <v/>
      </c>
      <c r="AC60" s="131" t="str">
        <f t="shared" ref="AC60:AC61" si="40">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8" hidden="1" customHeight="1" x14ac:dyDescent="0.3">
      <c r="A61" s="269"/>
      <c r="B61" s="260"/>
      <c r="C61" s="260"/>
      <c r="D61" s="260"/>
      <c r="E61" s="272"/>
      <c r="F61" s="260"/>
      <c r="G61" s="263"/>
      <c r="H61" s="266"/>
      <c r="I61" s="278"/>
      <c r="J61" s="281"/>
      <c r="K61" s="278">
        <f>IF(NOT(ISERROR(MATCH(J61,_xlfn.ANCHORARRAY(E72),0))),I74&amp;"Por favor no seleccionar los criterios de impacto",J61)</f>
        <v>0</v>
      </c>
      <c r="L61" s="266"/>
      <c r="M61" s="278"/>
      <c r="N61" s="275"/>
      <c r="O61" s="123">
        <v>6</v>
      </c>
      <c r="P61" s="124"/>
      <c r="Q61" s="125" t="str">
        <f t="shared" si="37"/>
        <v/>
      </c>
      <c r="R61" s="126"/>
      <c r="S61" s="126"/>
      <c r="T61" s="127" t="str">
        <f t="shared" si="34"/>
        <v/>
      </c>
      <c r="U61" s="126"/>
      <c r="V61" s="126"/>
      <c r="W61" s="126"/>
      <c r="X61" s="128" t="str">
        <f t="shared" si="38"/>
        <v/>
      </c>
      <c r="Y61" s="129" t="str">
        <f t="shared" si="1"/>
        <v/>
      </c>
      <c r="Z61" s="130" t="str">
        <f t="shared" si="35"/>
        <v/>
      </c>
      <c r="AA61" s="129" t="str">
        <f t="shared" si="3"/>
        <v/>
      </c>
      <c r="AB61" s="130" t="str">
        <f t="shared" si="39"/>
        <v/>
      </c>
      <c r="AC61" s="131" t="str">
        <f t="shared" si="40"/>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8" hidden="1" customHeight="1" x14ac:dyDescent="0.3">
      <c r="A62" s="267">
        <v>10</v>
      </c>
      <c r="B62" s="258"/>
      <c r="C62" s="258"/>
      <c r="D62" s="258"/>
      <c r="E62" s="270"/>
      <c r="F62" s="258"/>
      <c r="G62" s="261"/>
      <c r="H62" s="264" t="str">
        <f>IF(G62&lt;=0,"",IF(G62&lt;=2,"Muy Baja",IF(G62&lt;=24,"Baja",IF(G62&lt;=500,"Media",IF(G62&lt;=5000,"Alta","Muy Alta")))))</f>
        <v/>
      </c>
      <c r="I62" s="276" t="str">
        <f>IF(H62="","",IF(H62="Muy Baja",0.2,IF(H62="Baja",0.4,IF(H62="Media",0.6,IF(H62="Alta",0.8,IF(H62="Muy Alta",1,))))))</f>
        <v/>
      </c>
      <c r="J62" s="279"/>
      <c r="K62" s="276">
        <f>IF(NOT(ISERROR(MATCH(J62,'Tabla Impacto'!$B$221:$B$223,0))),'Tabla Impacto'!$F$228&amp;"Por favor no seleccionar los criterios de impacto(Afectación Económica o presupuestal y Pérdida Reputacional)",J62)</f>
        <v>0</v>
      </c>
      <c r="L62" s="264" t="str">
        <f>IF(OR(K62='Tabla Impacto'!$C$11,K62='Tabla Impacto'!$D$11),"Leve",IF(OR(K62='Tabla Impacto'!$C$12,K62='Tabla Impacto'!$D$12),"Menor",IF(OR(K62='Tabla Impacto'!$C$13,K62='Tabla Impacto'!$D$13),"Moderado",IF(OR(K62='Tabla Impacto'!$C$14,K62='Tabla Impacto'!$D$14),"Mayor",IF(OR(K62='Tabla Impacto'!$C$15,K62='Tabla Impacto'!$D$15),"Catastrófico","")))))</f>
        <v/>
      </c>
      <c r="M62" s="276" t="str">
        <f>IF(L62="","",IF(L62="Leve",0.2,IF(L62="Menor",0.4,IF(L62="Moderado",0.6,IF(L62="Mayor",0.8,IF(L62="Catastrófico",1,))))))</f>
        <v/>
      </c>
      <c r="N62" s="273" t="str">
        <f>IF(OR(AND(H62="Muy Baja",L62="Leve"),AND(H62="Muy Baja",L62="Menor"),AND(H62="Baja",L62="Leve")),"Bajo",IF(OR(AND(H62="Muy baja",L62="Moderado"),AND(H62="Baja",L62="Menor"),AND(H62="Baja",L62="Moderado"),AND(H62="Media",L62="Leve"),AND(H62="Media",L62="Menor"),AND(H62="Media",L62="Moderado"),AND(H62="Alta",L62="Leve"),AND(H62="Alta",L62="Menor")),"Moderado",IF(OR(AND(H62="Muy Baja",L62="Mayor"),AND(H62="Baja",L62="Mayor"),AND(H62="Media",L62="Mayor"),AND(H62="Alta",L62="Moderado"),AND(H62="Alta",L62="Mayor"),AND(H62="Muy Alta",L62="Leve"),AND(H62="Muy Alta",L62="Menor"),AND(H62="Muy Alta",L62="Moderado"),AND(H62="Muy Alta",L62="Mayor")),"Alto",IF(OR(AND(H62="Muy Baja",L62="Catastrófico"),AND(H62="Baja",L62="Catastrófico"),AND(H62="Media",L62="Catastrófico"),AND(H62="Alta",L62="Catastrófico"),AND(H62="Muy Alta",L62="Catastrófico")),"Extremo",""))))</f>
        <v/>
      </c>
      <c r="O62" s="123">
        <v>1</v>
      </c>
      <c r="P62" s="124"/>
      <c r="Q62" s="125" t="str">
        <f>IF(OR(R62="Preventivo",R62="Detectivo"),"Probabilidad",IF(R62="Correctivo","Impacto",""))</f>
        <v/>
      </c>
      <c r="R62" s="126"/>
      <c r="S62" s="126"/>
      <c r="T62" s="127" t="str">
        <f>IF(AND(R62="Preventivo",S62="Automático"),"50%",IF(AND(R62="Preventivo",S62="Manual"),"40%",IF(AND(R62="Detectivo",S62="Automático"),"40%",IF(AND(R62="Detectivo",S62="Manual"),"30%",IF(AND(R62="Correctivo",S62="Automático"),"35%",IF(AND(R62="Correctivo",S62="Manual"),"25%",""))))))</f>
        <v/>
      </c>
      <c r="U62" s="126"/>
      <c r="V62" s="126"/>
      <c r="W62" s="126"/>
      <c r="X62" s="128" t="str">
        <f>IFERROR(IF(Q62="Probabilidad",(I62-(+I62*T62)),IF(Q62="Impacto",I62,"")),"")</f>
        <v/>
      </c>
      <c r="Y62" s="129" t="str">
        <f>IFERROR(IF(X62="","",IF(X62&lt;=0.2,"Muy Baja",IF(X62&lt;=0.4,"Baja",IF(X62&lt;=0.6,"Media",IF(X62&lt;=0.8,"Alta","Muy Alta"))))),"")</f>
        <v/>
      </c>
      <c r="Z62" s="130" t="str">
        <f>+X62</f>
        <v/>
      </c>
      <c r="AA62" s="129" t="str">
        <f>IFERROR(IF(AB62="","",IF(AB62&lt;=0.2,"Leve",IF(AB62&lt;=0.4,"Menor",IF(AB62&lt;=0.6,"Moderado",IF(AB62&lt;=0.8,"Mayor","Catastrófico"))))),"")</f>
        <v/>
      </c>
      <c r="AB62" s="130" t="str">
        <f>IFERROR(IF(Q62="Impacto",(M62-(+M62*T62)),IF(Q62="Probabilidad",M62,"")),"")</f>
        <v/>
      </c>
      <c r="AC62" s="131"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8" hidden="1" customHeight="1" x14ac:dyDescent="0.3">
      <c r="A63" s="268"/>
      <c r="B63" s="259"/>
      <c r="C63" s="259"/>
      <c r="D63" s="259"/>
      <c r="E63" s="271"/>
      <c r="F63" s="259"/>
      <c r="G63" s="262"/>
      <c r="H63" s="265"/>
      <c r="I63" s="277"/>
      <c r="J63" s="280"/>
      <c r="K63" s="277">
        <f>IF(NOT(ISERROR(MATCH(J63,_xlfn.ANCHORARRAY(E74),0))),I76&amp;"Por favor no seleccionar los criterios de impacto",J63)</f>
        <v>0</v>
      </c>
      <c r="L63" s="265"/>
      <c r="M63" s="277"/>
      <c r="N63" s="274"/>
      <c r="O63" s="123">
        <v>2</v>
      </c>
      <c r="P63" s="124"/>
      <c r="Q63" s="125" t="str">
        <f>IF(OR(R63="Preventivo",R63="Detectivo"),"Probabilidad",IF(R63="Correctivo","Impacto",""))</f>
        <v/>
      </c>
      <c r="R63" s="126"/>
      <c r="S63" s="126"/>
      <c r="T63" s="127" t="str">
        <f t="shared" ref="T63:T67" si="41">IF(AND(R63="Preventivo",S63="Automático"),"50%",IF(AND(R63="Preventivo",S63="Manual"),"40%",IF(AND(R63="Detectivo",S63="Automático"),"40%",IF(AND(R63="Detectivo",S63="Manual"),"30%",IF(AND(R63="Correctivo",S63="Automático"),"35%",IF(AND(R63="Correctivo",S63="Manual"),"25%",""))))))</f>
        <v/>
      </c>
      <c r="U63" s="126"/>
      <c r="V63" s="126"/>
      <c r="W63" s="126"/>
      <c r="X63" s="128" t="str">
        <f>IFERROR(IF(AND(Q62="Probabilidad",Q63="Probabilidad"),(Z62-(+Z62*T63)),IF(Q63="Probabilidad",(I62-(+I62*T63)),IF(Q63="Impacto",Z62,""))),"")</f>
        <v/>
      </c>
      <c r="Y63" s="129" t="str">
        <f t="shared" si="1"/>
        <v/>
      </c>
      <c r="Z63" s="130" t="str">
        <f t="shared" ref="Z63:Z67" si="42">+X63</f>
        <v/>
      </c>
      <c r="AA63" s="129" t="str">
        <f t="shared" si="3"/>
        <v/>
      </c>
      <c r="AB63" s="130" t="str">
        <f>IFERROR(IF(AND(Q62="Impacto",Q63="Impacto"),(AB62-(+AB62*T63)),IF(Q63="Impacto",(M62-(+M62*T63)),IF(Q63="Probabilidad",AB62,""))),"")</f>
        <v/>
      </c>
      <c r="AC63" s="131" t="str">
        <f t="shared" ref="AC63:AC64" si="43">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32"/>
      <c r="AE63" s="133"/>
      <c r="AF63" s="134"/>
      <c r="AG63" s="135"/>
      <c r="AH63" s="135"/>
      <c r="AI63" s="133"/>
      <c r="AJ63" s="134"/>
    </row>
    <row r="64" spans="1:68" ht="18" hidden="1" customHeight="1" x14ac:dyDescent="0.3">
      <c r="A64" s="268"/>
      <c r="B64" s="259"/>
      <c r="C64" s="259"/>
      <c r="D64" s="259"/>
      <c r="E64" s="271"/>
      <c r="F64" s="259"/>
      <c r="G64" s="262"/>
      <c r="H64" s="265"/>
      <c r="I64" s="277"/>
      <c r="J64" s="280"/>
      <c r="K64" s="277">
        <f>IF(NOT(ISERROR(MATCH(J64,_xlfn.ANCHORARRAY(E75),0))),I77&amp;"Por favor no seleccionar los criterios de impacto",J64)</f>
        <v>0</v>
      </c>
      <c r="L64" s="265"/>
      <c r="M64" s="277"/>
      <c r="N64" s="274"/>
      <c r="O64" s="123">
        <v>3</v>
      </c>
      <c r="P64" s="136"/>
      <c r="Q64" s="125" t="str">
        <f>IF(OR(R64="Preventivo",R64="Detectivo"),"Probabilidad",IF(R64="Correctivo","Impacto",""))</f>
        <v/>
      </c>
      <c r="R64" s="126"/>
      <c r="S64" s="126"/>
      <c r="T64" s="127" t="str">
        <f t="shared" si="41"/>
        <v/>
      </c>
      <c r="U64" s="126"/>
      <c r="V64" s="126"/>
      <c r="W64" s="126"/>
      <c r="X64" s="128" t="str">
        <f>IFERROR(IF(AND(Q63="Probabilidad",Q64="Probabilidad"),(Z63-(+Z63*T64)),IF(AND(Q63="Impacto",Q64="Probabilidad"),(Z62-(+Z62*T64)),IF(Q64="Impacto",Z63,""))),"")</f>
        <v/>
      </c>
      <c r="Y64" s="129" t="str">
        <f t="shared" si="1"/>
        <v/>
      </c>
      <c r="Z64" s="130" t="str">
        <f t="shared" si="42"/>
        <v/>
      </c>
      <c r="AA64" s="129" t="str">
        <f t="shared" si="3"/>
        <v/>
      </c>
      <c r="AB64" s="130" t="str">
        <f>IFERROR(IF(AND(Q63="Impacto",Q64="Impacto"),(AB63-(+AB63*T64)),IF(AND(Q63="Probabilidad",Q64="Impacto"),(AB62-(+AB62*T64)),IF(Q64="Probabilidad",AB63,""))),"")</f>
        <v/>
      </c>
      <c r="AC64" s="131" t="str">
        <f t="shared" si="43"/>
        <v/>
      </c>
      <c r="AD64" s="132"/>
      <c r="AE64" s="133"/>
      <c r="AF64" s="134"/>
      <c r="AG64" s="135"/>
      <c r="AH64" s="135"/>
      <c r="AI64" s="133"/>
      <c r="AJ64" s="134"/>
    </row>
    <row r="65" spans="1:36" ht="18" hidden="1" customHeight="1" x14ac:dyDescent="0.3">
      <c r="A65" s="268"/>
      <c r="B65" s="259"/>
      <c r="C65" s="259"/>
      <c r="D65" s="259"/>
      <c r="E65" s="271"/>
      <c r="F65" s="259"/>
      <c r="G65" s="262"/>
      <c r="H65" s="265"/>
      <c r="I65" s="277"/>
      <c r="J65" s="280"/>
      <c r="K65" s="277">
        <f>IF(NOT(ISERROR(MATCH(J65,_xlfn.ANCHORARRAY(E76),0))),I78&amp;"Por favor no seleccionar los criterios de impacto",J65)</f>
        <v>0</v>
      </c>
      <c r="L65" s="265"/>
      <c r="M65" s="277"/>
      <c r="N65" s="274"/>
      <c r="O65" s="123">
        <v>4</v>
      </c>
      <c r="P65" s="124"/>
      <c r="Q65" s="125" t="str">
        <f t="shared" ref="Q65:Q67" si="44">IF(OR(R65="Preventivo",R65="Detectivo"),"Probabilidad",IF(R65="Correctivo","Impacto",""))</f>
        <v/>
      </c>
      <c r="R65" s="126"/>
      <c r="S65" s="126"/>
      <c r="T65" s="127" t="str">
        <f t="shared" si="41"/>
        <v/>
      </c>
      <c r="U65" s="126"/>
      <c r="V65" s="126"/>
      <c r="W65" s="126"/>
      <c r="X65" s="128" t="str">
        <f t="shared" ref="X65:X67" si="45">IFERROR(IF(AND(Q64="Probabilidad",Q65="Probabilidad"),(Z64-(+Z64*T65)),IF(AND(Q64="Impacto",Q65="Probabilidad"),(Z63-(+Z63*T65)),IF(Q65="Impacto",Z64,""))),"")</f>
        <v/>
      </c>
      <c r="Y65" s="129" t="str">
        <f t="shared" si="1"/>
        <v/>
      </c>
      <c r="Z65" s="130" t="str">
        <f t="shared" si="42"/>
        <v/>
      </c>
      <c r="AA65" s="129" t="str">
        <f t="shared" si="3"/>
        <v/>
      </c>
      <c r="AB65" s="130" t="str">
        <f t="shared" ref="AB65:AB67" si="46">IFERROR(IF(AND(Q64="Impacto",Q65="Impacto"),(AB64-(+AB64*T65)),IF(AND(Q64="Probabilidad",Q65="Impacto"),(AB63-(+AB63*T65)),IF(Q65="Probabilidad",AB64,""))),"")</f>
        <v/>
      </c>
      <c r="AC65" s="131"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8" hidden="1" customHeight="1" x14ac:dyDescent="0.3">
      <c r="A66" s="268"/>
      <c r="B66" s="259"/>
      <c r="C66" s="259"/>
      <c r="D66" s="259"/>
      <c r="E66" s="271"/>
      <c r="F66" s="259"/>
      <c r="G66" s="262"/>
      <c r="H66" s="265"/>
      <c r="I66" s="277"/>
      <c r="J66" s="280"/>
      <c r="K66" s="277">
        <f>IF(NOT(ISERROR(MATCH(J66,_xlfn.ANCHORARRAY(E77),0))),I79&amp;"Por favor no seleccionar los criterios de impacto",J66)</f>
        <v>0</v>
      </c>
      <c r="L66" s="265"/>
      <c r="M66" s="277"/>
      <c r="N66" s="274"/>
      <c r="O66" s="123">
        <v>5</v>
      </c>
      <c r="P66" s="124"/>
      <c r="Q66" s="125" t="str">
        <f t="shared" si="44"/>
        <v/>
      </c>
      <c r="R66" s="126"/>
      <c r="S66" s="126"/>
      <c r="T66" s="127" t="str">
        <f t="shared" si="41"/>
        <v/>
      </c>
      <c r="U66" s="126"/>
      <c r="V66" s="126"/>
      <c r="W66" s="126"/>
      <c r="X66" s="128" t="str">
        <f t="shared" si="45"/>
        <v/>
      </c>
      <c r="Y66" s="129" t="str">
        <f t="shared" si="1"/>
        <v/>
      </c>
      <c r="Z66" s="130" t="str">
        <f t="shared" si="42"/>
        <v/>
      </c>
      <c r="AA66" s="129" t="str">
        <f t="shared" si="3"/>
        <v/>
      </c>
      <c r="AB66" s="130" t="str">
        <f t="shared" si="46"/>
        <v/>
      </c>
      <c r="AC66" s="131" t="str">
        <f t="shared" ref="AC66:AC67" si="47">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32"/>
      <c r="AE66" s="133"/>
      <c r="AF66" s="134"/>
      <c r="AG66" s="135"/>
      <c r="AH66" s="135"/>
      <c r="AI66" s="133"/>
      <c r="AJ66" s="134"/>
    </row>
    <row r="67" spans="1:36" ht="18" hidden="1" customHeight="1" x14ac:dyDescent="0.3">
      <c r="A67" s="269"/>
      <c r="B67" s="260"/>
      <c r="C67" s="260"/>
      <c r="D67" s="260"/>
      <c r="E67" s="272"/>
      <c r="F67" s="260"/>
      <c r="G67" s="263"/>
      <c r="H67" s="266"/>
      <c r="I67" s="278"/>
      <c r="J67" s="281"/>
      <c r="K67" s="278">
        <f>IF(NOT(ISERROR(MATCH(J67,_xlfn.ANCHORARRAY(E78),0))),I80&amp;"Por favor no seleccionar los criterios de impacto",J67)</f>
        <v>0</v>
      </c>
      <c r="L67" s="266"/>
      <c r="M67" s="278"/>
      <c r="N67" s="275"/>
      <c r="O67" s="123">
        <v>6</v>
      </c>
      <c r="P67" s="124"/>
      <c r="Q67" s="125" t="str">
        <f t="shared" si="44"/>
        <v/>
      </c>
      <c r="R67" s="126"/>
      <c r="S67" s="126"/>
      <c r="T67" s="127" t="str">
        <f t="shared" si="41"/>
        <v/>
      </c>
      <c r="U67" s="126"/>
      <c r="V67" s="126"/>
      <c r="W67" s="126"/>
      <c r="X67" s="128" t="str">
        <f t="shared" si="45"/>
        <v/>
      </c>
      <c r="Y67" s="129" t="str">
        <f t="shared" si="1"/>
        <v/>
      </c>
      <c r="Z67" s="130" t="str">
        <f t="shared" si="42"/>
        <v/>
      </c>
      <c r="AA67" s="129" t="str">
        <f t="shared" si="3"/>
        <v/>
      </c>
      <c r="AB67" s="130" t="str">
        <f t="shared" si="46"/>
        <v/>
      </c>
      <c r="AC67" s="131" t="str">
        <f t="shared" si="47"/>
        <v/>
      </c>
      <c r="AD67" s="132"/>
      <c r="AE67" s="133"/>
      <c r="AF67" s="134"/>
      <c r="AG67" s="135"/>
      <c r="AH67" s="135"/>
      <c r="AI67" s="133"/>
      <c r="AJ67" s="134"/>
    </row>
    <row r="68" spans="1:36" ht="49.5" customHeight="1" x14ac:dyDescent="0.3">
      <c r="A68" s="6"/>
      <c r="B68" s="332" t="s">
        <v>89</v>
      </c>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3"/>
      <c r="AJ68" s="334"/>
    </row>
    <row r="70" spans="1:36" x14ac:dyDescent="0.3">
      <c r="A70" s="1"/>
      <c r="B70" s="24"/>
      <c r="C70" s="1"/>
      <c r="D70" s="1"/>
      <c r="F70" s="1"/>
    </row>
  </sheetData>
  <dataConsolidate/>
  <mergeCells count="225">
    <mergeCell ref="AI24:AI25"/>
    <mergeCell ref="AJ24:AJ25"/>
    <mergeCell ref="O24:O25"/>
    <mergeCell ref="C28:C29"/>
    <mergeCell ref="AD27:AD29"/>
    <mergeCell ref="Z24:Z25"/>
    <mergeCell ref="AA24:AA25"/>
    <mergeCell ref="AB24:AB25"/>
    <mergeCell ref="AC24:AC25"/>
    <mergeCell ref="AD24:AD25"/>
    <mergeCell ref="AE24:AE25"/>
    <mergeCell ref="AF24:AF25"/>
    <mergeCell ref="AG24:AG25"/>
    <mergeCell ref="AH24:AH25"/>
    <mergeCell ref="P24:P25"/>
    <mergeCell ref="Q24:Q25"/>
    <mergeCell ref="R24:R25"/>
    <mergeCell ref="S24:S25"/>
    <mergeCell ref="T24:T25"/>
    <mergeCell ref="U24:U25"/>
    <mergeCell ref="V24:V25"/>
    <mergeCell ref="W24:W25"/>
    <mergeCell ref="Y24:Y25"/>
    <mergeCell ref="AH48:AH49"/>
    <mergeCell ref="AI48:AI49"/>
    <mergeCell ref="AJ48:AJ49"/>
    <mergeCell ref="Y48:Y49"/>
    <mergeCell ref="Z48:Z49"/>
    <mergeCell ref="AA48:AA49"/>
    <mergeCell ref="AB48:AB49"/>
    <mergeCell ref="AC48:AC49"/>
    <mergeCell ref="AD48:AD49"/>
    <mergeCell ref="AE48:AE49"/>
    <mergeCell ref="AF48:AF49"/>
    <mergeCell ref="AG48:AG49"/>
    <mergeCell ref="O48:O49"/>
    <mergeCell ref="P48:P49"/>
    <mergeCell ref="Q48:Q49"/>
    <mergeCell ref="R48:R49"/>
    <mergeCell ref="S48:S49"/>
    <mergeCell ref="T48:T49"/>
    <mergeCell ref="U48:U49"/>
    <mergeCell ref="V48:V49"/>
    <mergeCell ref="W48:W49"/>
    <mergeCell ref="C18:N18"/>
    <mergeCell ref="O18:Q18"/>
    <mergeCell ref="A15:AJ16"/>
    <mergeCell ref="A21:G21"/>
    <mergeCell ref="H21:N21"/>
    <mergeCell ref="O21:W21"/>
    <mergeCell ref="X21:AD21"/>
    <mergeCell ref="AE21:AJ21"/>
    <mergeCell ref="B68:AJ68"/>
    <mergeCell ref="M56:M61"/>
    <mergeCell ref="N56:N61"/>
    <mergeCell ref="A62:A67"/>
    <mergeCell ref="B62:B67"/>
    <mergeCell ref="C62:C67"/>
    <mergeCell ref="D62:D67"/>
    <mergeCell ref="E62:E67"/>
    <mergeCell ref="F62:F67"/>
    <mergeCell ref="G62:G67"/>
    <mergeCell ref="H62:H67"/>
    <mergeCell ref="I62:I67"/>
    <mergeCell ref="J62:J67"/>
    <mergeCell ref="K62:K67"/>
    <mergeCell ref="L62:L67"/>
    <mergeCell ref="M62:M67"/>
    <mergeCell ref="N62:N67"/>
    <mergeCell ref="J56:J61"/>
    <mergeCell ref="K56:K61"/>
    <mergeCell ref="L56:L61"/>
    <mergeCell ref="A56:A61"/>
    <mergeCell ref="B56:B61"/>
    <mergeCell ref="C56:C61"/>
    <mergeCell ref="D56:D61"/>
    <mergeCell ref="E56:E61"/>
    <mergeCell ref="F56:F61"/>
    <mergeCell ref="G56:G61"/>
    <mergeCell ref="H56:H61"/>
    <mergeCell ref="I56:I61"/>
    <mergeCell ref="M48:M49"/>
    <mergeCell ref="N48:N49"/>
    <mergeCell ref="F50:F55"/>
    <mergeCell ref="G50:G55"/>
    <mergeCell ref="H50:H55"/>
    <mergeCell ref="I50:I55"/>
    <mergeCell ref="J50:J55"/>
    <mergeCell ref="F48:F49"/>
    <mergeCell ref="G48:G49"/>
    <mergeCell ref="H48:H49"/>
    <mergeCell ref="I48:I49"/>
    <mergeCell ref="K50:K55"/>
    <mergeCell ref="L50:L55"/>
    <mergeCell ref="M50:M55"/>
    <mergeCell ref="N50:N55"/>
    <mergeCell ref="I36:I41"/>
    <mergeCell ref="J36:J41"/>
    <mergeCell ref="G42:G47"/>
    <mergeCell ref="H42:H47"/>
    <mergeCell ref="I42:I47"/>
    <mergeCell ref="K36:K41"/>
    <mergeCell ref="L36:L41"/>
    <mergeCell ref="A50:A55"/>
    <mergeCell ref="B50:B55"/>
    <mergeCell ref="C50:C55"/>
    <mergeCell ref="D50:D55"/>
    <mergeCell ref="E50:E55"/>
    <mergeCell ref="A48:A49"/>
    <mergeCell ref="B48:B49"/>
    <mergeCell ref="D48:D49"/>
    <mergeCell ref="E48:E49"/>
    <mergeCell ref="C48:C49"/>
    <mergeCell ref="M36:M41"/>
    <mergeCell ref="N36:N41"/>
    <mergeCell ref="M42:M47"/>
    <mergeCell ref="N42:N47"/>
    <mergeCell ref="J48:J49"/>
    <mergeCell ref="K48:K49"/>
    <mergeCell ref="L48:L49"/>
    <mergeCell ref="A36:A41"/>
    <mergeCell ref="B36:B41"/>
    <mergeCell ref="C36:C41"/>
    <mergeCell ref="A42:A47"/>
    <mergeCell ref="B42:B47"/>
    <mergeCell ref="C42:C47"/>
    <mergeCell ref="D42:D47"/>
    <mergeCell ref="E42:E47"/>
    <mergeCell ref="F42:F47"/>
    <mergeCell ref="D36:D41"/>
    <mergeCell ref="E36:E41"/>
    <mergeCell ref="J42:J47"/>
    <mergeCell ref="K42:K47"/>
    <mergeCell ref="L42:L47"/>
    <mergeCell ref="F36:F41"/>
    <mergeCell ref="G36:G41"/>
    <mergeCell ref="H36:H41"/>
    <mergeCell ref="M27:M29"/>
    <mergeCell ref="N27:N29"/>
    <mergeCell ref="A30:A35"/>
    <mergeCell ref="B30:B35"/>
    <mergeCell ref="C30:C35"/>
    <mergeCell ref="D30:D35"/>
    <mergeCell ref="E30:E35"/>
    <mergeCell ref="F30:F35"/>
    <mergeCell ref="G30:G35"/>
    <mergeCell ref="H30:H35"/>
    <mergeCell ref="I30:I35"/>
    <mergeCell ref="J30:J35"/>
    <mergeCell ref="K30:K35"/>
    <mergeCell ref="L30:L35"/>
    <mergeCell ref="M30:M35"/>
    <mergeCell ref="N30:N35"/>
    <mergeCell ref="A27:A29"/>
    <mergeCell ref="B27:B29"/>
    <mergeCell ref="D27:D29"/>
    <mergeCell ref="E27:E29"/>
    <mergeCell ref="F27:F29"/>
    <mergeCell ref="G27:G29"/>
    <mergeCell ref="H27:H29"/>
    <mergeCell ref="I27:I29"/>
    <mergeCell ref="J27:J29"/>
    <mergeCell ref="K27:K29"/>
    <mergeCell ref="L27:L29"/>
    <mergeCell ref="AE22:AE23"/>
    <mergeCell ref="AJ22:AJ23"/>
    <mergeCell ref="AI22:AI23"/>
    <mergeCell ref="AH22:AH23"/>
    <mergeCell ref="AG22:AG23"/>
    <mergeCell ref="AF22:AF23"/>
    <mergeCell ref="A18:B18"/>
    <mergeCell ref="A19:B19"/>
    <mergeCell ref="A20:B20"/>
    <mergeCell ref="A22:A23"/>
    <mergeCell ref="F22:F23"/>
    <mergeCell ref="E22:E23"/>
    <mergeCell ref="D22:D23"/>
    <mergeCell ref="C22:C23"/>
    <mergeCell ref="AD22:AD23"/>
    <mergeCell ref="C19:N19"/>
    <mergeCell ref="C20:N20"/>
    <mergeCell ref="O22:O23"/>
    <mergeCell ref="AC22:AC23"/>
    <mergeCell ref="AB22:AB23"/>
    <mergeCell ref="X22:X23"/>
    <mergeCell ref="P22:P23"/>
    <mergeCell ref="AA22:AA23"/>
    <mergeCell ref="Y22:Y23"/>
    <mergeCell ref="Z22:Z23"/>
    <mergeCell ref="G22:G23"/>
    <mergeCell ref="H22:H23"/>
    <mergeCell ref="I22:I23"/>
    <mergeCell ref="L22:L23"/>
    <mergeCell ref="M22:M23"/>
    <mergeCell ref="B22:B23"/>
    <mergeCell ref="N22:N23"/>
    <mergeCell ref="J22:J23"/>
    <mergeCell ref="K22:K23"/>
    <mergeCell ref="Q22:Q23"/>
    <mergeCell ref="R22:W22"/>
    <mergeCell ref="F24:F25"/>
    <mergeCell ref="G24:G25"/>
    <mergeCell ref="H24:H25"/>
    <mergeCell ref="A24:A25"/>
    <mergeCell ref="B24:B25"/>
    <mergeCell ref="D24:D25"/>
    <mergeCell ref="E24:E25"/>
    <mergeCell ref="N24:N25"/>
    <mergeCell ref="I24:I25"/>
    <mergeCell ref="J24:J25"/>
    <mergeCell ref="K24:K25"/>
    <mergeCell ref="L24:L25"/>
    <mergeCell ref="M24:M25"/>
    <mergeCell ref="A1:AE5"/>
    <mergeCell ref="W12:AB12"/>
    <mergeCell ref="W13:AB13"/>
    <mergeCell ref="A14:J14"/>
    <mergeCell ref="N7:S7"/>
    <mergeCell ref="W9:AB9"/>
    <mergeCell ref="P8:S8"/>
    <mergeCell ref="P9:S9"/>
    <mergeCell ref="P12:S12"/>
    <mergeCell ref="P13:S13"/>
    <mergeCell ref="P10:S10"/>
    <mergeCell ref="P11:S11"/>
  </mergeCells>
  <conditionalFormatting sqref="H24 H26">
    <cfRule type="cellIs" dxfId="235" priority="333" operator="equal">
      <formula>"Muy Alta"</formula>
    </cfRule>
    <cfRule type="cellIs" dxfId="234" priority="334" operator="equal">
      <formula>"Alta"</formula>
    </cfRule>
    <cfRule type="cellIs" dxfId="233" priority="335" operator="equal">
      <formula>"Media"</formula>
    </cfRule>
    <cfRule type="cellIs" dxfId="232" priority="336" operator="equal">
      <formula>"Baja"</formula>
    </cfRule>
    <cfRule type="cellIs" dxfId="231" priority="337" operator="equal">
      <formula>"Muy Baja"</formula>
    </cfRule>
  </conditionalFormatting>
  <conditionalFormatting sqref="L26:L27 L30 L36 L42 L48 L50 L56 L62">
    <cfRule type="cellIs" dxfId="230" priority="328" operator="equal">
      <formula>"Catastrófico"</formula>
    </cfRule>
    <cfRule type="cellIs" dxfId="229" priority="329" operator="equal">
      <formula>"Mayor"</formula>
    </cfRule>
    <cfRule type="cellIs" dxfId="228" priority="330" operator="equal">
      <formula>"Moderado"</formula>
    </cfRule>
    <cfRule type="cellIs" dxfId="227" priority="331" operator="equal">
      <formula>"Menor"</formula>
    </cfRule>
    <cfRule type="cellIs" dxfId="226" priority="332" operator="equal">
      <formula>"Leve"</formula>
    </cfRule>
  </conditionalFormatting>
  <conditionalFormatting sqref="Y24">
    <cfRule type="cellIs" dxfId="225" priority="319" operator="equal">
      <formula>"Muy Alta"</formula>
    </cfRule>
    <cfRule type="cellIs" dxfId="224" priority="320" operator="equal">
      <formula>"Alta"</formula>
    </cfRule>
    <cfRule type="cellIs" dxfId="223" priority="321" operator="equal">
      <formula>"Media"</formula>
    </cfRule>
    <cfRule type="cellIs" dxfId="222" priority="322" operator="equal">
      <formula>"Baja"</formula>
    </cfRule>
    <cfRule type="cellIs" dxfId="221" priority="323" operator="equal">
      <formula>"Muy Baja"</formula>
    </cfRule>
  </conditionalFormatting>
  <conditionalFormatting sqref="AA24">
    <cfRule type="cellIs" dxfId="220" priority="314" operator="equal">
      <formula>"Catastrófico"</formula>
    </cfRule>
    <cfRule type="cellIs" dxfId="219" priority="315" operator="equal">
      <formula>"Mayor"</formula>
    </cfRule>
    <cfRule type="cellIs" dxfId="218" priority="316" operator="equal">
      <formula>"Moderado"</formula>
    </cfRule>
    <cfRule type="cellIs" dxfId="217" priority="317" operator="equal">
      <formula>"Menor"</formula>
    </cfRule>
    <cfRule type="cellIs" dxfId="216" priority="318" operator="equal">
      <formula>"Leve"</formula>
    </cfRule>
  </conditionalFormatting>
  <conditionalFormatting sqref="AC24">
    <cfRule type="cellIs" dxfId="215" priority="310" operator="equal">
      <formula>"Extremo"</formula>
    </cfRule>
    <cfRule type="cellIs" dxfId="214" priority="311" operator="equal">
      <formula>"Alto"</formula>
    </cfRule>
    <cfRule type="cellIs" dxfId="213" priority="312" operator="equal">
      <formula>"Moderado"</formula>
    </cfRule>
    <cfRule type="cellIs" dxfId="212" priority="313" operator="equal">
      <formula>"Bajo"</formula>
    </cfRule>
  </conditionalFormatting>
  <conditionalFormatting sqref="H56">
    <cfRule type="cellIs" dxfId="211" priority="67" operator="equal">
      <formula>"Muy Alta"</formula>
    </cfRule>
    <cfRule type="cellIs" dxfId="210" priority="68" operator="equal">
      <formula>"Alta"</formula>
    </cfRule>
    <cfRule type="cellIs" dxfId="209" priority="69" operator="equal">
      <formula>"Media"</formula>
    </cfRule>
    <cfRule type="cellIs" dxfId="208" priority="70" operator="equal">
      <formula>"Baja"</formula>
    </cfRule>
    <cfRule type="cellIs" dxfId="207" priority="71" operator="equal">
      <formula>"Muy Baja"</formula>
    </cfRule>
  </conditionalFormatting>
  <conditionalFormatting sqref="N26">
    <cfRule type="cellIs" dxfId="206" priority="254" operator="equal">
      <formula>"Extremo"</formula>
    </cfRule>
    <cfRule type="cellIs" dxfId="205" priority="255" operator="equal">
      <formula>"Alto"</formula>
    </cfRule>
    <cfRule type="cellIs" dxfId="204" priority="256" operator="equal">
      <formula>"Moderado"</formula>
    </cfRule>
    <cfRule type="cellIs" dxfId="203" priority="257" operator="equal">
      <formula>"Bajo"</formula>
    </cfRule>
  </conditionalFormatting>
  <conditionalFormatting sqref="Y26">
    <cfRule type="cellIs" dxfId="202" priority="249" operator="equal">
      <formula>"Muy Alta"</formula>
    </cfRule>
    <cfRule type="cellIs" dxfId="201" priority="250" operator="equal">
      <formula>"Alta"</formula>
    </cfRule>
    <cfRule type="cellIs" dxfId="200" priority="251" operator="equal">
      <formula>"Media"</formula>
    </cfRule>
    <cfRule type="cellIs" dxfId="199" priority="252" operator="equal">
      <formula>"Baja"</formula>
    </cfRule>
    <cfRule type="cellIs" dxfId="198" priority="253" operator="equal">
      <formula>"Muy Baja"</formula>
    </cfRule>
  </conditionalFormatting>
  <conditionalFormatting sqref="AA26">
    <cfRule type="cellIs" dxfId="197" priority="244" operator="equal">
      <formula>"Catastrófico"</formula>
    </cfRule>
    <cfRule type="cellIs" dxfId="196" priority="245" operator="equal">
      <formula>"Mayor"</formula>
    </cfRule>
    <cfRule type="cellIs" dxfId="195" priority="246" operator="equal">
      <formula>"Moderado"</formula>
    </cfRule>
    <cfRule type="cellIs" dxfId="194" priority="247" operator="equal">
      <formula>"Menor"</formula>
    </cfRule>
    <cfRule type="cellIs" dxfId="193" priority="248" operator="equal">
      <formula>"Leve"</formula>
    </cfRule>
  </conditionalFormatting>
  <conditionalFormatting sqref="AC26">
    <cfRule type="cellIs" dxfId="192" priority="240" operator="equal">
      <formula>"Extremo"</formula>
    </cfRule>
    <cfRule type="cellIs" dxfId="191" priority="241" operator="equal">
      <formula>"Alto"</formula>
    </cfRule>
    <cfRule type="cellIs" dxfId="190" priority="242" operator="equal">
      <formula>"Moderado"</formula>
    </cfRule>
    <cfRule type="cellIs" dxfId="189" priority="243" operator="equal">
      <formula>"Bajo"</formula>
    </cfRule>
  </conditionalFormatting>
  <conditionalFormatting sqref="H27">
    <cfRule type="cellIs" dxfId="188" priority="235" operator="equal">
      <formula>"Muy Alta"</formula>
    </cfRule>
    <cfRule type="cellIs" dxfId="187" priority="236" operator="equal">
      <formula>"Alta"</formula>
    </cfRule>
    <cfRule type="cellIs" dxfId="186" priority="237" operator="equal">
      <formula>"Media"</formula>
    </cfRule>
    <cfRule type="cellIs" dxfId="185" priority="238" operator="equal">
      <formula>"Baja"</formula>
    </cfRule>
    <cfRule type="cellIs" dxfId="184" priority="239" operator="equal">
      <formula>"Muy Baja"</formula>
    </cfRule>
  </conditionalFormatting>
  <conditionalFormatting sqref="N27">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Y27:Y29">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AA27:AA29">
    <cfRule type="cellIs" dxfId="174" priority="216" operator="equal">
      <formula>"Catastrófico"</formula>
    </cfRule>
    <cfRule type="cellIs" dxfId="173" priority="217" operator="equal">
      <formula>"Mayor"</formula>
    </cfRule>
    <cfRule type="cellIs" dxfId="172" priority="218" operator="equal">
      <formula>"Moderado"</formula>
    </cfRule>
    <cfRule type="cellIs" dxfId="171" priority="219" operator="equal">
      <formula>"Menor"</formula>
    </cfRule>
    <cfRule type="cellIs" dxfId="170" priority="220" operator="equal">
      <formula>"Leve"</formula>
    </cfRule>
  </conditionalFormatting>
  <conditionalFormatting sqref="AC27:AC29">
    <cfRule type="cellIs" dxfId="169" priority="212" operator="equal">
      <formula>"Extremo"</formula>
    </cfRule>
    <cfRule type="cellIs" dxfId="168" priority="213" operator="equal">
      <formula>"Alto"</formula>
    </cfRule>
    <cfRule type="cellIs" dxfId="167" priority="214" operator="equal">
      <formula>"Moderado"</formula>
    </cfRule>
    <cfRule type="cellIs" dxfId="166" priority="215" operator="equal">
      <formula>"Bajo"</formula>
    </cfRule>
  </conditionalFormatting>
  <conditionalFormatting sqref="H30">
    <cfRule type="cellIs" dxfId="165" priority="207" operator="equal">
      <formula>"Muy Alta"</formula>
    </cfRule>
    <cfRule type="cellIs" dxfId="164" priority="208" operator="equal">
      <formula>"Alta"</formula>
    </cfRule>
    <cfRule type="cellIs" dxfId="163" priority="209" operator="equal">
      <formula>"Media"</formula>
    </cfRule>
    <cfRule type="cellIs" dxfId="162" priority="210" operator="equal">
      <formula>"Baja"</formula>
    </cfRule>
    <cfRule type="cellIs" dxfId="161" priority="211" operator="equal">
      <formula>"Muy Baja"</formula>
    </cfRule>
  </conditionalFormatting>
  <conditionalFormatting sqref="N30">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Y30:Y35">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AA30:AA35">
    <cfRule type="cellIs" dxfId="151" priority="188" operator="equal">
      <formula>"Catastrófico"</formula>
    </cfRule>
    <cfRule type="cellIs" dxfId="150" priority="189" operator="equal">
      <formula>"Mayor"</formula>
    </cfRule>
    <cfRule type="cellIs" dxfId="149" priority="190" operator="equal">
      <formula>"Moderado"</formula>
    </cfRule>
    <cfRule type="cellIs" dxfId="148" priority="191" operator="equal">
      <formula>"Menor"</formula>
    </cfRule>
    <cfRule type="cellIs" dxfId="147" priority="192" operator="equal">
      <formula>"Leve"</formula>
    </cfRule>
  </conditionalFormatting>
  <conditionalFormatting sqref="AC30:AC35">
    <cfRule type="cellIs" dxfId="146" priority="184" operator="equal">
      <formula>"Extremo"</formula>
    </cfRule>
    <cfRule type="cellIs" dxfId="145" priority="185" operator="equal">
      <formula>"Alto"</formula>
    </cfRule>
    <cfRule type="cellIs" dxfId="144" priority="186" operator="equal">
      <formula>"Moderado"</formula>
    </cfRule>
    <cfRule type="cellIs" dxfId="143" priority="187" operator="equal">
      <formula>"Bajo"</formula>
    </cfRule>
  </conditionalFormatting>
  <conditionalFormatting sqref="H36">
    <cfRule type="cellIs" dxfId="142" priority="179" operator="equal">
      <formula>"Muy Alta"</formula>
    </cfRule>
    <cfRule type="cellIs" dxfId="141" priority="180" operator="equal">
      <formula>"Alta"</formula>
    </cfRule>
    <cfRule type="cellIs" dxfId="140" priority="181" operator="equal">
      <formula>"Media"</formula>
    </cfRule>
    <cfRule type="cellIs" dxfId="139" priority="182" operator="equal">
      <formula>"Baja"</formula>
    </cfRule>
    <cfRule type="cellIs" dxfId="138" priority="183" operator="equal">
      <formula>"Muy Baja"</formula>
    </cfRule>
  </conditionalFormatting>
  <conditionalFormatting sqref="N36">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Y36:Y41">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AA36:AA41">
    <cfRule type="cellIs" dxfId="128" priority="160" operator="equal">
      <formula>"Catastrófico"</formula>
    </cfRule>
    <cfRule type="cellIs" dxfId="127" priority="161" operator="equal">
      <formula>"Mayor"</formula>
    </cfRule>
    <cfRule type="cellIs" dxfId="126" priority="162" operator="equal">
      <formula>"Moderado"</formula>
    </cfRule>
    <cfRule type="cellIs" dxfId="125" priority="163" operator="equal">
      <formula>"Menor"</formula>
    </cfRule>
    <cfRule type="cellIs" dxfId="124" priority="164" operator="equal">
      <formula>"Leve"</formula>
    </cfRule>
  </conditionalFormatting>
  <conditionalFormatting sqref="AC36:AC41">
    <cfRule type="cellIs" dxfId="123" priority="156" operator="equal">
      <formula>"Extremo"</formula>
    </cfRule>
    <cfRule type="cellIs" dxfId="122" priority="157" operator="equal">
      <formula>"Alto"</formula>
    </cfRule>
    <cfRule type="cellIs" dxfId="121" priority="158" operator="equal">
      <formula>"Moderado"</formula>
    </cfRule>
    <cfRule type="cellIs" dxfId="120" priority="159" operator="equal">
      <formula>"Bajo"</formula>
    </cfRule>
  </conditionalFormatting>
  <conditionalFormatting sqref="H42">
    <cfRule type="cellIs" dxfId="119" priority="151" operator="equal">
      <formula>"Muy Alta"</formula>
    </cfRule>
    <cfRule type="cellIs" dxfId="118" priority="152" operator="equal">
      <formula>"Alta"</formula>
    </cfRule>
    <cfRule type="cellIs" dxfId="117" priority="153" operator="equal">
      <formula>"Media"</formula>
    </cfRule>
    <cfRule type="cellIs" dxfId="116" priority="154" operator="equal">
      <formula>"Baja"</formula>
    </cfRule>
    <cfRule type="cellIs" dxfId="115" priority="155" operator="equal">
      <formula>"Muy Baja"</formula>
    </cfRule>
  </conditionalFormatting>
  <conditionalFormatting sqref="N42">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Y42:Y47">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AA42:AA47">
    <cfRule type="cellIs" dxfId="105" priority="132" operator="equal">
      <formula>"Catastrófico"</formula>
    </cfRule>
    <cfRule type="cellIs" dxfId="104" priority="133" operator="equal">
      <formula>"Mayor"</formula>
    </cfRule>
    <cfRule type="cellIs" dxfId="103" priority="134" operator="equal">
      <formula>"Moderado"</formula>
    </cfRule>
    <cfRule type="cellIs" dxfId="102" priority="135" operator="equal">
      <formula>"Menor"</formula>
    </cfRule>
    <cfRule type="cellIs" dxfId="101" priority="136" operator="equal">
      <formula>"Leve"</formula>
    </cfRule>
  </conditionalFormatting>
  <conditionalFormatting sqref="AC42:AC47">
    <cfRule type="cellIs" dxfId="100" priority="128" operator="equal">
      <formula>"Extremo"</formula>
    </cfRule>
    <cfRule type="cellIs" dxfId="99" priority="129" operator="equal">
      <formula>"Alto"</formula>
    </cfRule>
    <cfRule type="cellIs" dxfId="98" priority="130" operator="equal">
      <formula>"Moderado"</formula>
    </cfRule>
    <cfRule type="cellIs" dxfId="97" priority="131" operator="equal">
      <formula>"Bajo"</formula>
    </cfRule>
  </conditionalFormatting>
  <conditionalFormatting sqref="H48">
    <cfRule type="cellIs" dxfId="96" priority="123" operator="equal">
      <formula>"Muy Alta"</formula>
    </cfRule>
    <cfRule type="cellIs" dxfId="95" priority="124" operator="equal">
      <formula>"Alta"</formula>
    </cfRule>
    <cfRule type="cellIs" dxfId="94" priority="125" operator="equal">
      <formula>"Media"</formula>
    </cfRule>
    <cfRule type="cellIs" dxfId="93" priority="126" operator="equal">
      <formula>"Baja"</formula>
    </cfRule>
    <cfRule type="cellIs" dxfId="92" priority="127" operator="equal">
      <formula>"Muy Baja"</formula>
    </cfRule>
  </conditionalFormatting>
  <conditionalFormatting sqref="N48">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Y48">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AA48">
    <cfRule type="cellIs" dxfId="82" priority="104" operator="equal">
      <formula>"Catastrófico"</formula>
    </cfRule>
    <cfRule type="cellIs" dxfId="81" priority="105" operator="equal">
      <formula>"Mayor"</formula>
    </cfRule>
    <cfRule type="cellIs" dxfId="80" priority="106" operator="equal">
      <formula>"Moderado"</formula>
    </cfRule>
    <cfRule type="cellIs" dxfId="79" priority="107" operator="equal">
      <formula>"Menor"</formula>
    </cfRule>
    <cfRule type="cellIs" dxfId="78" priority="108" operator="equal">
      <formula>"Leve"</formula>
    </cfRule>
  </conditionalFormatting>
  <conditionalFormatting sqref="AC48">
    <cfRule type="cellIs" dxfId="77" priority="100" operator="equal">
      <formula>"Extremo"</formula>
    </cfRule>
    <cfRule type="cellIs" dxfId="76" priority="101" operator="equal">
      <formula>"Alto"</formula>
    </cfRule>
    <cfRule type="cellIs" dxfId="75" priority="102" operator="equal">
      <formula>"Moderado"</formula>
    </cfRule>
    <cfRule type="cellIs" dxfId="74" priority="103" operator="equal">
      <formula>"Bajo"</formula>
    </cfRule>
  </conditionalFormatting>
  <conditionalFormatting sqref="H50">
    <cfRule type="cellIs" dxfId="73" priority="95" operator="equal">
      <formula>"Muy Alta"</formula>
    </cfRule>
    <cfRule type="cellIs" dxfId="72" priority="96" operator="equal">
      <formula>"Alta"</formula>
    </cfRule>
    <cfRule type="cellIs" dxfId="71" priority="97" operator="equal">
      <formula>"Media"</formula>
    </cfRule>
    <cfRule type="cellIs" dxfId="70" priority="98" operator="equal">
      <formula>"Baja"</formula>
    </cfRule>
    <cfRule type="cellIs" dxfId="69" priority="99" operator="equal">
      <formula>"Muy Baja"</formula>
    </cfRule>
  </conditionalFormatting>
  <conditionalFormatting sqref="N50">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Y50:Y55">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AA50:AA55">
    <cfRule type="cellIs" dxfId="59" priority="76" operator="equal">
      <formula>"Catastrófico"</formula>
    </cfRule>
    <cfRule type="cellIs" dxfId="58" priority="77" operator="equal">
      <formula>"Mayor"</formula>
    </cfRule>
    <cfRule type="cellIs" dxfId="57" priority="78" operator="equal">
      <formula>"Moderado"</formula>
    </cfRule>
    <cfRule type="cellIs" dxfId="56" priority="79" operator="equal">
      <formula>"Menor"</formula>
    </cfRule>
    <cfRule type="cellIs" dxfId="55" priority="80" operator="equal">
      <formula>"Leve"</formula>
    </cfRule>
  </conditionalFormatting>
  <conditionalFormatting sqref="AC50:AC55">
    <cfRule type="cellIs" dxfId="54" priority="72" operator="equal">
      <formula>"Extremo"</formula>
    </cfRule>
    <cfRule type="cellIs" dxfId="53" priority="73" operator="equal">
      <formula>"Alto"</formula>
    </cfRule>
    <cfRule type="cellIs" dxfId="52" priority="74" operator="equal">
      <formula>"Moderado"</formula>
    </cfRule>
    <cfRule type="cellIs" dxfId="51" priority="75" operator="equal">
      <formula>"Bajo"</formula>
    </cfRule>
  </conditionalFormatting>
  <conditionalFormatting sqref="N56">
    <cfRule type="cellIs" dxfId="50" priority="58" operator="equal">
      <formula>"Extremo"</formula>
    </cfRule>
    <cfRule type="cellIs" dxfId="49" priority="59" operator="equal">
      <formula>"Alto"</formula>
    </cfRule>
    <cfRule type="cellIs" dxfId="48" priority="60" operator="equal">
      <formula>"Moderado"</formula>
    </cfRule>
    <cfRule type="cellIs" dxfId="47" priority="61" operator="equal">
      <formula>"Bajo"</formula>
    </cfRule>
  </conditionalFormatting>
  <conditionalFormatting sqref="Y56:Y61">
    <cfRule type="cellIs" dxfId="46" priority="53" operator="equal">
      <formula>"Muy Alta"</formula>
    </cfRule>
    <cfRule type="cellIs" dxfId="45" priority="54" operator="equal">
      <formula>"Alta"</formula>
    </cfRule>
    <cfRule type="cellIs" dxfId="44" priority="55" operator="equal">
      <formula>"Media"</formula>
    </cfRule>
    <cfRule type="cellIs" dxfId="43" priority="56" operator="equal">
      <formula>"Baja"</formula>
    </cfRule>
    <cfRule type="cellIs" dxfId="42" priority="57" operator="equal">
      <formula>"Muy Baja"</formula>
    </cfRule>
  </conditionalFormatting>
  <conditionalFormatting sqref="AA56:AA61">
    <cfRule type="cellIs" dxfId="41" priority="48" operator="equal">
      <formula>"Catastrófico"</formula>
    </cfRule>
    <cfRule type="cellIs" dxfId="40" priority="49" operator="equal">
      <formula>"Mayor"</formula>
    </cfRule>
    <cfRule type="cellIs" dxfId="39" priority="50" operator="equal">
      <formula>"Moderado"</formula>
    </cfRule>
    <cfRule type="cellIs" dxfId="38" priority="51" operator="equal">
      <formula>"Menor"</formula>
    </cfRule>
    <cfRule type="cellIs" dxfId="37" priority="52" operator="equal">
      <formula>"Leve"</formula>
    </cfRule>
  </conditionalFormatting>
  <conditionalFormatting sqref="AC56:AC61">
    <cfRule type="cellIs" dxfId="36" priority="44" operator="equal">
      <formula>"Extremo"</formula>
    </cfRule>
    <cfRule type="cellIs" dxfId="35" priority="45" operator="equal">
      <formula>"Alto"</formula>
    </cfRule>
    <cfRule type="cellIs" dxfId="34" priority="46" operator="equal">
      <formula>"Moderado"</formula>
    </cfRule>
    <cfRule type="cellIs" dxfId="33" priority="47" operator="equal">
      <formula>"Bajo"</formula>
    </cfRule>
  </conditionalFormatting>
  <conditionalFormatting sqref="H62">
    <cfRule type="cellIs" dxfId="32" priority="39" operator="equal">
      <formula>"Muy Alta"</formula>
    </cfRule>
    <cfRule type="cellIs" dxfId="31" priority="40" operator="equal">
      <formula>"Alta"</formula>
    </cfRule>
    <cfRule type="cellIs" dxfId="30" priority="41" operator="equal">
      <formula>"Media"</formula>
    </cfRule>
    <cfRule type="cellIs" dxfId="29" priority="42" operator="equal">
      <formula>"Baja"</formula>
    </cfRule>
    <cfRule type="cellIs" dxfId="28" priority="43" operator="equal">
      <formula>"Muy Baja"</formula>
    </cfRule>
  </conditionalFormatting>
  <conditionalFormatting sqref="N62">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Y62:Y67">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AA62:AA67">
    <cfRule type="cellIs" dxfId="18" priority="20" operator="equal">
      <formula>"Catastrófico"</formula>
    </cfRule>
    <cfRule type="cellIs" dxfId="17" priority="21" operator="equal">
      <formula>"Mayor"</formula>
    </cfRule>
    <cfRule type="cellIs" dxfId="16" priority="22" operator="equal">
      <formula>"Moderado"</formula>
    </cfRule>
    <cfRule type="cellIs" dxfId="15" priority="23" operator="equal">
      <formula>"Menor"</formula>
    </cfRule>
    <cfRule type="cellIs" dxfId="14" priority="24" operator="equal">
      <formula>"Leve"</formula>
    </cfRule>
  </conditionalFormatting>
  <conditionalFormatting sqref="AC62:AC67">
    <cfRule type="cellIs" dxfId="13" priority="16" operator="equal">
      <formula>"Extremo"</formula>
    </cfRule>
    <cfRule type="cellIs" dxfId="12" priority="17" operator="equal">
      <formula>"Alto"</formula>
    </cfRule>
    <cfRule type="cellIs" dxfId="11" priority="18" operator="equal">
      <formula>"Moderado"</formula>
    </cfRule>
    <cfRule type="cellIs" dxfId="10" priority="19" operator="equal">
      <formula>"Bajo"</formula>
    </cfRule>
  </conditionalFormatting>
  <conditionalFormatting sqref="K24:K67">
    <cfRule type="containsText" dxfId="9" priority="15" operator="containsText" text="❌">
      <formula>NOT(ISERROR(SEARCH("❌",K24)))</formula>
    </cfRule>
  </conditionalFormatting>
  <conditionalFormatting sqref="L24">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N24">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4000000}">
          <x14:formula1>
            <xm:f>'Opciones Tratamiento'!$B$9:$B$10</xm:f>
          </x14:formula1>
          <xm:sqref>AJ24:AJ25 AJ26 AJ27:AJ28 AJ30:AJ31 AJ33:AJ34 AJ36:AJ37 AJ39:AJ40 AJ42:AJ43 AJ45:AJ46 AJ48:AJ51 AJ53:AJ54 AJ56:AJ57 AJ59:AJ60 AJ62:AJ63 AJ65:AJ66</xm:sqref>
        </x14:dataValidation>
        <x14:dataValidation type="list" allowBlank="1" showInputMessage="1" showErrorMessage="1" xr:uid="{00000000-0002-0000-0100-000006000000}">
          <x14:formula1>
            <xm:f>'Opciones Tratamiento'!$B$13:$B$19</xm:f>
          </x14:formula1>
          <xm:sqref>F56:F67</xm:sqref>
        </x14:dataValidation>
        <x14:dataValidation type="list" allowBlank="1" showInputMessage="1" showErrorMessage="1" xr:uid="{00000000-0002-0000-0100-000000000000}">
          <x14:formula1>
            <xm:f>'Tabla Valoración controles'!$D$4:$D$6</xm:f>
          </x14:formula1>
          <xm:sqref>R50:R67 R24 R26:R48</xm:sqref>
        </x14:dataValidation>
        <x14:dataValidation type="list" allowBlank="1" showInputMessage="1" showErrorMessage="1" xr:uid="{00000000-0002-0000-0100-000001000000}">
          <x14:formula1>
            <xm:f>'Tabla Valoración controles'!$D$7:$D$8</xm:f>
          </x14:formula1>
          <xm:sqref>S50:S67 S24 S26:S48</xm:sqref>
        </x14:dataValidation>
        <x14:dataValidation type="list" allowBlank="1" showInputMessage="1" showErrorMessage="1" xr:uid="{00000000-0002-0000-0100-000002000000}">
          <x14:formula1>
            <xm:f>'Tabla Valoración controles'!$D$9:$D$10</xm:f>
          </x14:formula1>
          <xm:sqref>U50:U67 U24 U26:U48</xm:sqref>
        </x14:dataValidation>
        <x14:dataValidation type="list" allowBlank="1" showInputMessage="1" showErrorMessage="1" xr:uid="{00000000-0002-0000-0100-000003000000}">
          <x14:formula1>
            <xm:f>'Tabla Valoración controles'!$D$11:$D$12</xm:f>
          </x14:formula1>
          <xm:sqref>V50:V67 V24 V26:V48</xm:sqref>
        </x14:dataValidation>
        <x14:dataValidation type="list" allowBlank="1" showInputMessage="1" showErrorMessage="1" xr:uid="{00000000-0002-0000-0100-000005000000}">
          <x14:formula1>
            <xm:f>'Tabla Valoración controles'!$D$13:$D$14</xm:f>
          </x14:formula1>
          <xm:sqref>W50:W67 W24 W26:W48</xm:sqref>
        </x14:dataValidation>
        <x14:dataValidation type="list" allowBlank="1" showInputMessage="1" showErrorMessage="1" xr:uid="{00000000-0002-0000-0100-000008000000}">
          <x14:formula1>
            <xm:f>'Opciones Tratamiento'!$B$2:$B$5</xm:f>
          </x14:formula1>
          <xm:sqref>AD50:AD67 AD24 AD26:AD27 AD30:AD48</xm:sqref>
        </x14:dataValidation>
        <x14:dataValidation type="custom" allowBlank="1" showInputMessage="1" showErrorMessage="1" error="Recuerde que las acciones se generan bajo la medida de mitigar el riesgo" xr:uid="{00000000-0002-0000-0100-00000A000000}">
          <x14:formula1>
            <xm:f>IF(OR(AD24='Opciones Tratamiento'!$B$2,AD24='Opciones Tratamiento'!$B$3,AD24='Opciones Tratamiento'!$B$4),ISBLANK(AD24),ISTEXT(AD24))</xm:f>
          </x14:formula1>
          <xm:sqref>AE50:AE67 AE24 AE26:AE48</xm:sqref>
        </x14:dataValidation>
        <x14:dataValidation type="custom" allowBlank="1" showInputMessage="1" showErrorMessage="1" error="Recuerde que las acciones se generan bajo la medida de mitigar el riesgo" xr:uid="{00000000-0002-0000-0100-00000B000000}">
          <x14:formula1>
            <xm:f>IF(OR(AD24='Opciones Tratamiento'!$B$2,AD24='Opciones Tratamiento'!$B$3,AD24='Opciones Tratamiento'!$B$4),ISBLANK(AD24),ISTEXT(AD24))</xm:f>
          </x14:formula1>
          <xm:sqref>AF24:AF67</xm:sqref>
        </x14:dataValidation>
        <x14:dataValidation type="custom" allowBlank="1" showInputMessage="1" showErrorMessage="1" error="Recuerde que las acciones se generan bajo la medida de mitigar el riesgo" xr:uid="{00000000-0002-0000-0100-00000C000000}">
          <x14:formula1>
            <xm:f>IF(OR(AD24='Opciones Tratamiento'!$B$2,AD24='Opciones Tratamiento'!$B$3,AD24='Opciones Tratamiento'!$B$4),ISBLANK(AD24),ISTEXT(AD24))</xm:f>
          </x14:formula1>
          <xm:sqref>AG24:AG67</xm:sqref>
        </x14:dataValidation>
        <x14:dataValidation type="custom" allowBlank="1" showInputMessage="1" showErrorMessage="1" error="Recuerde que las acciones se generan bajo la medida de mitigar el riesgo" xr:uid="{00000000-0002-0000-0100-00000D000000}">
          <x14:formula1>
            <xm:f>IF(OR(AD24='Opciones Tratamiento'!$B$2,AD24='Opciones Tratamiento'!$B$3,AD24='Opciones Tratamiento'!$B$4),ISBLANK(AD24),ISTEXT(AD24))</xm:f>
          </x14:formula1>
          <xm:sqref>AH24:AH67</xm:sqref>
        </x14:dataValidation>
        <x14:dataValidation type="custom" allowBlank="1" showInputMessage="1" showErrorMessage="1" error="Recuerde que las acciones se generan bajo la medida de mitigar el riesgo" xr:uid="{00000000-0002-0000-0100-00000E000000}">
          <x14:formula1>
            <xm:f>IF(OR(AD24='Opciones Tratamiento'!$B$2,AD24='Opciones Tratamiento'!$B$3,AD24='Opciones Tratamiento'!$B$4),ISBLANK(AD24),ISTEXT(AD24))</xm:f>
          </x14:formula1>
          <xm:sqref>AI24:AI67</xm:sqref>
        </x14:dataValidation>
        <x14:dataValidation type="list" allowBlank="1" showInputMessage="1" showErrorMessage="1" xr:uid="{A08F2382-C520-458D-822B-27E981004C95}">
          <x14:formula1>
            <xm:f>'Impacto-clasificacion'!$A$3:$A$6</xm:f>
          </x14:formula1>
          <xm:sqref>B24:B67</xm:sqref>
        </x14:dataValidation>
        <x14:dataValidation type="list" allowBlank="1" showInputMessage="1" showErrorMessage="1" xr:uid="{5B4BFEDF-535D-4676-A2D9-BF1564B5BA44}">
          <x14:formula1>
            <xm:f>'Impacto-clasificacion'!$D$3:$D$10</xm:f>
          </x14:formula1>
          <xm:sqref>F24:F55</xm:sqref>
        </x14:dataValidation>
        <x14:dataValidation type="list" allowBlank="1" showInputMessage="1" showErrorMessage="1" xr:uid="{8DAD2BC1-1BDC-471A-A521-4F3A16793D70}">
          <x14:formula1>
            <xm:f>'Tabla Impacto'!$F$210:$F$227</xm:f>
          </x14:formula1>
          <xm:sqref>J24:J67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60AC-28F7-489F-8FA7-03900777C28F}">
  <dimension ref="A2:D10"/>
  <sheetViews>
    <sheetView workbookViewId="0">
      <selection activeCell="E12" sqref="E12"/>
    </sheetView>
  </sheetViews>
  <sheetFormatPr baseColWidth="10" defaultRowHeight="15" x14ac:dyDescent="0.25"/>
  <sheetData>
    <row r="2" spans="1:4" x14ac:dyDescent="0.25">
      <c r="A2" t="s">
        <v>13</v>
      </c>
    </row>
    <row r="3" spans="1:4" x14ac:dyDescent="0.25">
      <c r="A3" t="s">
        <v>190</v>
      </c>
      <c r="D3" t="s">
        <v>231</v>
      </c>
    </row>
    <row r="4" spans="1:4" x14ac:dyDescent="0.25">
      <c r="A4" t="s">
        <v>192</v>
      </c>
      <c r="D4" t="s">
        <v>232</v>
      </c>
    </row>
    <row r="5" spans="1:4" x14ac:dyDescent="0.25">
      <c r="A5" t="s">
        <v>194</v>
      </c>
      <c r="D5" t="s">
        <v>233</v>
      </c>
    </row>
    <row r="6" spans="1:4" x14ac:dyDescent="0.25">
      <c r="A6" t="s">
        <v>230</v>
      </c>
      <c r="D6" t="s">
        <v>202</v>
      </c>
    </row>
    <row r="7" spans="1:4" x14ac:dyDescent="0.25">
      <c r="D7" t="s">
        <v>203</v>
      </c>
    </row>
    <row r="8" spans="1:4" x14ac:dyDescent="0.25">
      <c r="D8" t="s">
        <v>204</v>
      </c>
    </row>
    <row r="9" spans="1:4" x14ac:dyDescent="0.25">
      <c r="D9" t="s">
        <v>234</v>
      </c>
    </row>
    <row r="10" spans="1:4" x14ac:dyDescent="0.25">
      <c r="D10" t="s">
        <v>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47" t="s">
        <v>90</v>
      </c>
      <c r="C2" s="347"/>
      <c r="D2" s="347"/>
      <c r="E2" s="347"/>
      <c r="F2" s="347"/>
      <c r="G2" s="347"/>
      <c r="H2" s="347"/>
      <c r="I2" s="347"/>
      <c r="J2" s="384" t="s">
        <v>13</v>
      </c>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47"/>
      <c r="C3" s="347"/>
      <c r="D3" s="347"/>
      <c r="E3" s="347"/>
      <c r="F3" s="347"/>
      <c r="G3" s="347"/>
      <c r="H3" s="347"/>
      <c r="I3" s="347"/>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47"/>
      <c r="C4" s="347"/>
      <c r="D4" s="347"/>
      <c r="E4" s="347"/>
      <c r="F4" s="347"/>
      <c r="G4" s="347"/>
      <c r="H4" s="347"/>
      <c r="I4" s="347"/>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395" t="s">
        <v>91</v>
      </c>
      <c r="C6" s="395"/>
      <c r="D6" s="396"/>
      <c r="E6" s="385" t="s">
        <v>92</v>
      </c>
      <c r="F6" s="386"/>
      <c r="G6" s="386"/>
      <c r="H6" s="386"/>
      <c r="I6" s="387"/>
      <c r="J6" s="381" t="str">
        <f>IF(AND('Mapa final'!$H$24="Muy Alta",'Mapa final'!$L$24="Leve"),CONCATENATE("R",'Mapa final'!$A$24),"")</f>
        <v/>
      </c>
      <c r="K6" s="382"/>
      <c r="L6" s="382" t="str">
        <f>IF(AND('Mapa final'!$H$26="Muy Alta",'Mapa final'!$L$26="Leve"),CONCATENATE("R",'Mapa final'!$A$26),"")</f>
        <v/>
      </c>
      <c r="M6" s="382"/>
      <c r="N6" s="382" t="str">
        <f>IF(AND('Mapa final'!$H$27="Muy Alta",'Mapa final'!$L$27="Leve"),CONCATENATE("R",'Mapa final'!$A$27),"")</f>
        <v/>
      </c>
      <c r="O6" s="383"/>
      <c r="P6" s="381" t="str">
        <f>IF(AND('Mapa final'!$H$24="Muy Alta",'Mapa final'!$L$24="Menor"),CONCATENATE("R",'Mapa final'!$A$24),"")</f>
        <v/>
      </c>
      <c r="Q6" s="382"/>
      <c r="R6" s="382" t="str">
        <f>IF(AND('Mapa final'!$H$26="Muy Alta",'Mapa final'!$L$26="Menor"),CONCATENATE("R",'Mapa final'!$A$26),"")</f>
        <v/>
      </c>
      <c r="S6" s="382"/>
      <c r="T6" s="382" t="str">
        <f>IF(AND('Mapa final'!$H$27="Muy Alta",'Mapa final'!$L$27="Menor"),CONCATENATE("R",'Mapa final'!$A$27),"")</f>
        <v/>
      </c>
      <c r="U6" s="383"/>
      <c r="V6" s="381" t="str">
        <f>IF(AND('Mapa final'!$H$24="Muy Alta",'Mapa final'!$L$24="Moderado"),CONCATENATE("R",'Mapa final'!$A$24),"")</f>
        <v/>
      </c>
      <c r="W6" s="382"/>
      <c r="X6" s="382" t="str">
        <f>IF(AND('Mapa final'!$H$26="Muy Alta",'Mapa final'!$L$26="Moderado"),CONCATENATE("R",'Mapa final'!$A$26),"")</f>
        <v/>
      </c>
      <c r="Y6" s="382"/>
      <c r="Z6" s="382" t="str">
        <f>IF(AND('Mapa final'!$H$27="Muy Alta",'Mapa final'!$L$27="Moderado"),CONCATENATE("R",'Mapa final'!$A$27),"")</f>
        <v/>
      </c>
      <c r="AA6" s="383"/>
      <c r="AB6" s="381" t="str">
        <f>IF(AND('Mapa final'!$H$24="Muy Alta",'Mapa final'!$L$24="Mayor"),CONCATENATE("R",'Mapa final'!$A$24),"")</f>
        <v/>
      </c>
      <c r="AC6" s="382"/>
      <c r="AD6" s="382" t="str">
        <f>IF(AND('Mapa final'!$H$26="Muy Alta",'Mapa final'!$L$26="Mayor"),CONCATENATE("R",'Mapa final'!$A$26),"")</f>
        <v/>
      </c>
      <c r="AE6" s="382"/>
      <c r="AF6" s="382" t="str">
        <f>IF(AND('Mapa final'!$H$27="Muy Alta",'Mapa final'!$L$27="Mayor"),CONCATENATE("R",'Mapa final'!$A$27),"")</f>
        <v/>
      </c>
      <c r="AG6" s="383"/>
      <c r="AH6" s="372" t="str">
        <f>IF(AND('Mapa final'!$H$24="Muy Alta",'Mapa final'!$L$24="Catastrófico"),CONCATENATE("R",'Mapa final'!$A$24),"")</f>
        <v/>
      </c>
      <c r="AI6" s="373"/>
      <c r="AJ6" s="373" t="str">
        <f>IF(AND('Mapa final'!$H$26="Muy Alta",'Mapa final'!$L$26="Catastrófico"),CONCATENATE("R",'Mapa final'!$A$26),"")</f>
        <v/>
      </c>
      <c r="AK6" s="373"/>
      <c r="AL6" s="373" t="str">
        <f>IF(AND('Mapa final'!$H$27="Muy Alta",'Mapa final'!$L$27="Catastrófico"),CONCATENATE("R",'Mapa final'!$A$27),"")</f>
        <v/>
      </c>
      <c r="AM6" s="374"/>
      <c r="AO6" s="397" t="s">
        <v>93</v>
      </c>
      <c r="AP6" s="398"/>
      <c r="AQ6" s="398"/>
      <c r="AR6" s="398"/>
      <c r="AS6" s="398"/>
      <c r="AT6" s="39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395"/>
      <c r="C7" s="395"/>
      <c r="D7" s="396"/>
      <c r="E7" s="388"/>
      <c r="F7" s="389"/>
      <c r="G7" s="389"/>
      <c r="H7" s="389"/>
      <c r="I7" s="390"/>
      <c r="J7" s="375"/>
      <c r="K7" s="376"/>
      <c r="L7" s="376"/>
      <c r="M7" s="376"/>
      <c r="N7" s="376"/>
      <c r="O7" s="377"/>
      <c r="P7" s="375"/>
      <c r="Q7" s="376"/>
      <c r="R7" s="376"/>
      <c r="S7" s="376"/>
      <c r="T7" s="376"/>
      <c r="U7" s="377"/>
      <c r="V7" s="375"/>
      <c r="W7" s="376"/>
      <c r="X7" s="376"/>
      <c r="Y7" s="376"/>
      <c r="Z7" s="376"/>
      <c r="AA7" s="377"/>
      <c r="AB7" s="375"/>
      <c r="AC7" s="376"/>
      <c r="AD7" s="376"/>
      <c r="AE7" s="376"/>
      <c r="AF7" s="376"/>
      <c r="AG7" s="377"/>
      <c r="AH7" s="366"/>
      <c r="AI7" s="367"/>
      <c r="AJ7" s="367"/>
      <c r="AK7" s="367"/>
      <c r="AL7" s="367"/>
      <c r="AM7" s="368"/>
      <c r="AN7" s="83"/>
      <c r="AO7" s="400"/>
      <c r="AP7" s="401"/>
      <c r="AQ7" s="401"/>
      <c r="AR7" s="401"/>
      <c r="AS7" s="401"/>
      <c r="AT7" s="40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395"/>
      <c r="C8" s="395"/>
      <c r="D8" s="396"/>
      <c r="E8" s="388"/>
      <c r="F8" s="389"/>
      <c r="G8" s="389"/>
      <c r="H8" s="389"/>
      <c r="I8" s="390"/>
      <c r="J8" s="375" t="str">
        <f>IF(AND('Mapa final'!$H$30="Muy Alta",'Mapa final'!$L$30="Leve"),CONCATENATE("R",'Mapa final'!$A$30),"")</f>
        <v/>
      </c>
      <c r="K8" s="376"/>
      <c r="L8" s="376" t="str">
        <f>IF(AND('Mapa final'!$H$36="Muy Alta",'Mapa final'!$L$36="Leve"),CONCATENATE("R",'Mapa final'!$A$36),"")</f>
        <v/>
      </c>
      <c r="M8" s="376"/>
      <c r="N8" s="376" t="str">
        <f>IF(AND('Mapa final'!$H$42="Muy Alta",'Mapa final'!$L$42="Leve"),CONCATENATE("R",'Mapa final'!$A$42),"")</f>
        <v/>
      </c>
      <c r="O8" s="377"/>
      <c r="P8" s="375" t="str">
        <f>IF(AND('Mapa final'!$H$30="Muy Alta",'Mapa final'!$L$30="Menor"),CONCATENATE("R",'Mapa final'!$A$30),"")</f>
        <v/>
      </c>
      <c r="Q8" s="376"/>
      <c r="R8" s="376" t="str">
        <f>IF(AND('Mapa final'!$H$36="Muy Alta",'Mapa final'!$L$36="Menor"),CONCATENATE("R",'Mapa final'!$A$36),"")</f>
        <v/>
      </c>
      <c r="S8" s="376"/>
      <c r="T8" s="376" t="str">
        <f>IF(AND('Mapa final'!$H$42="Muy Alta",'Mapa final'!$L$42="Menor"),CONCATENATE("R",'Mapa final'!$A$42),"")</f>
        <v/>
      </c>
      <c r="U8" s="377"/>
      <c r="V8" s="375" t="str">
        <f>IF(AND('Mapa final'!$H$30="Muy Alta",'Mapa final'!$L$30="Moderado"),CONCATENATE("R",'Mapa final'!$A$30),"")</f>
        <v/>
      </c>
      <c r="W8" s="376"/>
      <c r="X8" s="376" t="str">
        <f>IF(AND('Mapa final'!$H$36="Muy Alta",'Mapa final'!$L$36="Moderado"),CONCATENATE("R",'Mapa final'!$A$36),"")</f>
        <v/>
      </c>
      <c r="Y8" s="376"/>
      <c r="Z8" s="376" t="str">
        <f>IF(AND('Mapa final'!$H$42="Muy Alta",'Mapa final'!$L$42="Moderado"),CONCATENATE("R",'Mapa final'!$A$42),"")</f>
        <v/>
      </c>
      <c r="AA8" s="377"/>
      <c r="AB8" s="375" t="str">
        <f>IF(AND('Mapa final'!$H$30="Muy Alta",'Mapa final'!$L$30="Mayor"),CONCATENATE("R",'Mapa final'!$A$30),"")</f>
        <v/>
      </c>
      <c r="AC8" s="376"/>
      <c r="AD8" s="376" t="str">
        <f>IF(AND('Mapa final'!$H$36="Muy Alta",'Mapa final'!$L$36="Mayor"),CONCATENATE("R",'Mapa final'!$A$36),"")</f>
        <v/>
      </c>
      <c r="AE8" s="376"/>
      <c r="AF8" s="376" t="str">
        <f>IF(AND('Mapa final'!$H$42="Muy Alta",'Mapa final'!$L$42="Mayor"),CONCATENATE("R",'Mapa final'!$A$42),"")</f>
        <v/>
      </c>
      <c r="AG8" s="377"/>
      <c r="AH8" s="366" t="str">
        <f>IF(AND('Mapa final'!$H$30="Muy Alta",'Mapa final'!$L$30="Catastrófico"),CONCATENATE("R",'Mapa final'!$A$30),"")</f>
        <v/>
      </c>
      <c r="AI8" s="367"/>
      <c r="AJ8" s="367" t="str">
        <f>IF(AND('Mapa final'!$H$36="Muy Alta",'Mapa final'!$L$36="Catastrófico"),CONCATENATE("R",'Mapa final'!$A$36),"")</f>
        <v/>
      </c>
      <c r="AK8" s="367"/>
      <c r="AL8" s="367" t="str">
        <f>IF(AND('Mapa final'!$H$42="Muy Alta",'Mapa final'!$L$42="Catastrófico"),CONCATENATE("R",'Mapa final'!$A$42),"")</f>
        <v/>
      </c>
      <c r="AM8" s="368"/>
      <c r="AN8" s="83"/>
      <c r="AO8" s="400"/>
      <c r="AP8" s="401"/>
      <c r="AQ8" s="401"/>
      <c r="AR8" s="401"/>
      <c r="AS8" s="401"/>
      <c r="AT8" s="40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395"/>
      <c r="C9" s="395"/>
      <c r="D9" s="396"/>
      <c r="E9" s="388"/>
      <c r="F9" s="389"/>
      <c r="G9" s="389"/>
      <c r="H9" s="389"/>
      <c r="I9" s="390"/>
      <c r="J9" s="375"/>
      <c r="K9" s="376"/>
      <c r="L9" s="376"/>
      <c r="M9" s="376"/>
      <c r="N9" s="376"/>
      <c r="O9" s="377"/>
      <c r="P9" s="375"/>
      <c r="Q9" s="376"/>
      <c r="R9" s="376"/>
      <c r="S9" s="376"/>
      <c r="T9" s="376"/>
      <c r="U9" s="377"/>
      <c r="V9" s="375"/>
      <c r="W9" s="376"/>
      <c r="X9" s="376"/>
      <c r="Y9" s="376"/>
      <c r="Z9" s="376"/>
      <c r="AA9" s="377"/>
      <c r="AB9" s="375"/>
      <c r="AC9" s="376"/>
      <c r="AD9" s="376"/>
      <c r="AE9" s="376"/>
      <c r="AF9" s="376"/>
      <c r="AG9" s="377"/>
      <c r="AH9" s="366"/>
      <c r="AI9" s="367"/>
      <c r="AJ9" s="367"/>
      <c r="AK9" s="367"/>
      <c r="AL9" s="367"/>
      <c r="AM9" s="368"/>
      <c r="AN9" s="83"/>
      <c r="AO9" s="400"/>
      <c r="AP9" s="401"/>
      <c r="AQ9" s="401"/>
      <c r="AR9" s="401"/>
      <c r="AS9" s="401"/>
      <c r="AT9" s="40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395"/>
      <c r="C10" s="395"/>
      <c r="D10" s="396"/>
      <c r="E10" s="388"/>
      <c r="F10" s="389"/>
      <c r="G10" s="389"/>
      <c r="H10" s="389"/>
      <c r="I10" s="390"/>
      <c r="J10" s="375" t="str">
        <f>IF(AND('Mapa final'!$H$48="Muy Alta",'Mapa final'!$L$48="Leve"),CONCATENATE("R",'Mapa final'!$A$48),"")</f>
        <v/>
      </c>
      <c r="K10" s="376"/>
      <c r="L10" s="376" t="str">
        <f>IF(AND('Mapa final'!$H$50="Muy Alta",'Mapa final'!$L$50="Leve"),CONCATENATE("R",'Mapa final'!$A$50),"")</f>
        <v/>
      </c>
      <c r="M10" s="376"/>
      <c r="N10" s="376" t="str">
        <f>IF(AND('Mapa final'!$H$56="Muy Alta",'Mapa final'!$L$56="Leve"),CONCATENATE("R",'Mapa final'!$A$56),"")</f>
        <v/>
      </c>
      <c r="O10" s="377"/>
      <c r="P10" s="375" t="str">
        <f>IF(AND('Mapa final'!$H$48="Muy Alta",'Mapa final'!$L$48="Menor"),CONCATENATE("R",'Mapa final'!$A$48),"")</f>
        <v/>
      </c>
      <c r="Q10" s="376"/>
      <c r="R10" s="376" t="str">
        <f>IF(AND('Mapa final'!$H$50="Muy Alta",'Mapa final'!$L$50="Menor"),CONCATENATE("R",'Mapa final'!$A$50),"")</f>
        <v/>
      </c>
      <c r="S10" s="376"/>
      <c r="T10" s="376" t="str">
        <f>IF(AND('Mapa final'!$H$56="Muy Alta",'Mapa final'!$L$56="Menor"),CONCATENATE("R",'Mapa final'!$A$56),"")</f>
        <v/>
      </c>
      <c r="U10" s="377"/>
      <c r="V10" s="375" t="str">
        <f>IF(AND('Mapa final'!$H$48="Muy Alta",'Mapa final'!$L$48="Moderado"),CONCATENATE("R",'Mapa final'!$A$48),"")</f>
        <v/>
      </c>
      <c r="W10" s="376"/>
      <c r="X10" s="376" t="str">
        <f>IF(AND('Mapa final'!$H$50="Muy Alta",'Mapa final'!$L$50="Moderado"),CONCATENATE("R",'Mapa final'!$A$50),"")</f>
        <v/>
      </c>
      <c r="Y10" s="376"/>
      <c r="Z10" s="376" t="str">
        <f>IF(AND('Mapa final'!$H$56="Muy Alta",'Mapa final'!$L$56="Moderado"),CONCATENATE("R",'Mapa final'!$A$56),"")</f>
        <v/>
      </c>
      <c r="AA10" s="377"/>
      <c r="AB10" s="375" t="str">
        <f>IF(AND('Mapa final'!$H$48="Muy Alta",'Mapa final'!$L$48="Mayor"),CONCATENATE("R",'Mapa final'!$A$48),"")</f>
        <v/>
      </c>
      <c r="AC10" s="376"/>
      <c r="AD10" s="376" t="str">
        <f>IF(AND('Mapa final'!$H$50="Muy Alta",'Mapa final'!$L$50="Mayor"),CONCATENATE("R",'Mapa final'!$A$50),"")</f>
        <v/>
      </c>
      <c r="AE10" s="376"/>
      <c r="AF10" s="376" t="str">
        <f>IF(AND('Mapa final'!$H$56="Muy Alta",'Mapa final'!$L$56="Mayor"),CONCATENATE("R",'Mapa final'!$A$56),"")</f>
        <v/>
      </c>
      <c r="AG10" s="377"/>
      <c r="AH10" s="366" t="str">
        <f>IF(AND('Mapa final'!$H$48="Muy Alta",'Mapa final'!$L$48="Catastrófico"),CONCATENATE("R",'Mapa final'!$A$48),"")</f>
        <v/>
      </c>
      <c r="AI10" s="367"/>
      <c r="AJ10" s="367" t="str">
        <f>IF(AND('Mapa final'!$H$50="Muy Alta",'Mapa final'!$L$50="Catastrófico"),CONCATENATE("R",'Mapa final'!$A$50),"")</f>
        <v/>
      </c>
      <c r="AK10" s="367"/>
      <c r="AL10" s="367" t="str">
        <f>IF(AND('Mapa final'!$H$56="Muy Alta",'Mapa final'!$L$56="Catastrófico"),CONCATENATE("R",'Mapa final'!$A$56),"")</f>
        <v/>
      </c>
      <c r="AM10" s="368"/>
      <c r="AN10" s="83"/>
      <c r="AO10" s="400"/>
      <c r="AP10" s="401"/>
      <c r="AQ10" s="401"/>
      <c r="AR10" s="401"/>
      <c r="AS10" s="401"/>
      <c r="AT10" s="40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395"/>
      <c r="C11" s="395"/>
      <c r="D11" s="396"/>
      <c r="E11" s="388"/>
      <c r="F11" s="389"/>
      <c r="G11" s="389"/>
      <c r="H11" s="389"/>
      <c r="I11" s="390"/>
      <c r="J11" s="375"/>
      <c r="K11" s="376"/>
      <c r="L11" s="376"/>
      <c r="M11" s="376"/>
      <c r="N11" s="376"/>
      <c r="O11" s="377"/>
      <c r="P11" s="375"/>
      <c r="Q11" s="376"/>
      <c r="R11" s="376"/>
      <c r="S11" s="376"/>
      <c r="T11" s="376"/>
      <c r="U11" s="377"/>
      <c r="V11" s="375"/>
      <c r="W11" s="376"/>
      <c r="X11" s="376"/>
      <c r="Y11" s="376"/>
      <c r="Z11" s="376"/>
      <c r="AA11" s="377"/>
      <c r="AB11" s="375"/>
      <c r="AC11" s="376"/>
      <c r="AD11" s="376"/>
      <c r="AE11" s="376"/>
      <c r="AF11" s="376"/>
      <c r="AG11" s="377"/>
      <c r="AH11" s="366"/>
      <c r="AI11" s="367"/>
      <c r="AJ11" s="367"/>
      <c r="AK11" s="367"/>
      <c r="AL11" s="367"/>
      <c r="AM11" s="368"/>
      <c r="AN11" s="83"/>
      <c r="AO11" s="400"/>
      <c r="AP11" s="401"/>
      <c r="AQ11" s="401"/>
      <c r="AR11" s="401"/>
      <c r="AS11" s="401"/>
      <c r="AT11" s="40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395"/>
      <c r="C12" s="395"/>
      <c r="D12" s="396"/>
      <c r="E12" s="388"/>
      <c r="F12" s="389"/>
      <c r="G12" s="389"/>
      <c r="H12" s="389"/>
      <c r="I12" s="390"/>
      <c r="J12" s="375" t="str">
        <f>IF(AND('Mapa final'!$H$62="Muy Alta",'Mapa final'!$L$62="Leve"),CONCATENATE("R",'Mapa final'!$A$62),"")</f>
        <v/>
      </c>
      <c r="K12" s="376"/>
      <c r="L12" s="376" t="str">
        <f>IF(AND('Mapa final'!$H$68="Muy Alta",'Mapa final'!$L$68="Leve"),CONCATENATE("R",'Mapa final'!$A$68),"")</f>
        <v/>
      </c>
      <c r="M12" s="376"/>
      <c r="N12" s="376" t="str">
        <f>IF(AND('Mapa final'!$H$74="Muy Alta",'Mapa final'!$L$74="Leve"),CONCATENATE("R",'Mapa final'!$A$74),"")</f>
        <v/>
      </c>
      <c r="O12" s="377"/>
      <c r="P12" s="375" t="str">
        <f>IF(AND('Mapa final'!$H$62="Muy Alta",'Mapa final'!$L$62="Menor"),CONCATENATE("R",'Mapa final'!$A$62),"")</f>
        <v/>
      </c>
      <c r="Q12" s="376"/>
      <c r="R12" s="376" t="str">
        <f>IF(AND('Mapa final'!$H$68="Muy Alta",'Mapa final'!$L$68="Menor"),CONCATENATE("R",'Mapa final'!$A$68),"")</f>
        <v/>
      </c>
      <c r="S12" s="376"/>
      <c r="T12" s="376" t="str">
        <f>IF(AND('Mapa final'!$H$74="Muy Alta",'Mapa final'!$L$74="Menor"),CONCATENATE("R",'Mapa final'!$A$74),"")</f>
        <v/>
      </c>
      <c r="U12" s="377"/>
      <c r="V12" s="375" t="str">
        <f>IF(AND('Mapa final'!$H$62="Muy Alta",'Mapa final'!$L$62="Moderado"),CONCATENATE("R",'Mapa final'!$A$62),"")</f>
        <v/>
      </c>
      <c r="W12" s="376"/>
      <c r="X12" s="376" t="str">
        <f>IF(AND('Mapa final'!$H$68="Muy Alta",'Mapa final'!$L$68="Moderado"),CONCATENATE("R",'Mapa final'!$A$68),"")</f>
        <v/>
      </c>
      <c r="Y12" s="376"/>
      <c r="Z12" s="376" t="str">
        <f>IF(AND('Mapa final'!$H$74="Muy Alta",'Mapa final'!$L$74="Moderado"),CONCATENATE("R",'Mapa final'!$A$74),"")</f>
        <v/>
      </c>
      <c r="AA12" s="377"/>
      <c r="AB12" s="375" t="str">
        <f>IF(AND('Mapa final'!$H$62="Muy Alta",'Mapa final'!$L$62="Mayor"),CONCATENATE("R",'Mapa final'!$A$62),"")</f>
        <v/>
      </c>
      <c r="AC12" s="376"/>
      <c r="AD12" s="376" t="str">
        <f>IF(AND('Mapa final'!$H$68="Muy Alta",'Mapa final'!$L$68="Mayor"),CONCATENATE("R",'Mapa final'!$A$68),"")</f>
        <v/>
      </c>
      <c r="AE12" s="376"/>
      <c r="AF12" s="376" t="str">
        <f>IF(AND('Mapa final'!$H$74="Muy Alta",'Mapa final'!$L$74="Mayor"),CONCATENATE("R",'Mapa final'!$A$74),"")</f>
        <v/>
      </c>
      <c r="AG12" s="377"/>
      <c r="AH12" s="366" t="str">
        <f>IF(AND('Mapa final'!$H$62="Muy Alta",'Mapa final'!$L$62="Catastrófico"),CONCATENATE("R",'Mapa final'!$A$62),"")</f>
        <v/>
      </c>
      <c r="AI12" s="367"/>
      <c r="AJ12" s="367" t="str">
        <f>IF(AND('Mapa final'!$H$68="Muy Alta",'Mapa final'!$L$68="Catastrófico"),CONCATENATE("R",'Mapa final'!$A$68),"")</f>
        <v/>
      </c>
      <c r="AK12" s="367"/>
      <c r="AL12" s="367" t="str">
        <f>IF(AND('Mapa final'!$H$74="Muy Alta",'Mapa final'!$L$74="Catastrófico"),CONCATENATE("R",'Mapa final'!$A$74),"")</f>
        <v/>
      </c>
      <c r="AM12" s="368"/>
      <c r="AN12" s="83"/>
      <c r="AO12" s="400"/>
      <c r="AP12" s="401"/>
      <c r="AQ12" s="401"/>
      <c r="AR12" s="401"/>
      <c r="AS12" s="401"/>
      <c r="AT12" s="40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395"/>
      <c r="C13" s="395"/>
      <c r="D13" s="396"/>
      <c r="E13" s="391"/>
      <c r="F13" s="392"/>
      <c r="G13" s="392"/>
      <c r="H13" s="392"/>
      <c r="I13" s="393"/>
      <c r="J13" s="375"/>
      <c r="K13" s="376"/>
      <c r="L13" s="376"/>
      <c r="M13" s="376"/>
      <c r="N13" s="376"/>
      <c r="O13" s="377"/>
      <c r="P13" s="375"/>
      <c r="Q13" s="376"/>
      <c r="R13" s="376"/>
      <c r="S13" s="376"/>
      <c r="T13" s="376"/>
      <c r="U13" s="377"/>
      <c r="V13" s="375"/>
      <c r="W13" s="376"/>
      <c r="X13" s="376"/>
      <c r="Y13" s="376"/>
      <c r="Z13" s="376"/>
      <c r="AA13" s="377"/>
      <c r="AB13" s="375"/>
      <c r="AC13" s="376"/>
      <c r="AD13" s="376"/>
      <c r="AE13" s="376"/>
      <c r="AF13" s="376"/>
      <c r="AG13" s="377"/>
      <c r="AH13" s="369"/>
      <c r="AI13" s="370"/>
      <c r="AJ13" s="370"/>
      <c r="AK13" s="370"/>
      <c r="AL13" s="370"/>
      <c r="AM13" s="371"/>
      <c r="AN13" s="83"/>
      <c r="AO13" s="403"/>
      <c r="AP13" s="404"/>
      <c r="AQ13" s="404"/>
      <c r="AR13" s="404"/>
      <c r="AS13" s="404"/>
      <c r="AT13" s="40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395"/>
      <c r="C14" s="395"/>
      <c r="D14" s="396"/>
      <c r="E14" s="385" t="s">
        <v>94</v>
      </c>
      <c r="F14" s="386"/>
      <c r="G14" s="386"/>
      <c r="H14" s="386"/>
      <c r="I14" s="386"/>
      <c r="J14" s="363" t="str">
        <f>IF(AND('Mapa final'!$H$24="Alta",'Mapa final'!$L$24="Leve"),CONCATENATE("R",'Mapa final'!$A$24),"")</f>
        <v/>
      </c>
      <c r="K14" s="364"/>
      <c r="L14" s="364" t="str">
        <f>IF(AND('Mapa final'!$H$26="Alta",'Mapa final'!$L$26="Leve"),CONCATENATE("R",'Mapa final'!$A$26),"")</f>
        <v/>
      </c>
      <c r="M14" s="364"/>
      <c r="N14" s="364" t="str">
        <f>IF(AND('Mapa final'!$H$27="Alta",'Mapa final'!$L$27="Leve"),CONCATENATE("R",'Mapa final'!$A$27),"")</f>
        <v/>
      </c>
      <c r="O14" s="365"/>
      <c r="P14" s="363" t="str">
        <f>IF(AND('Mapa final'!$H$24="Alta",'Mapa final'!$L$24="Menor"),CONCATENATE("R",'Mapa final'!$A$24),"")</f>
        <v/>
      </c>
      <c r="Q14" s="364"/>
      <c r="R14" s="364" t="str">
        <f>IF(AND('Mapa final'!$H$26="Alta",'Mapa final'!$L$26="Menor"),CONCATENATE("R",'Mapa final'!$A$26),"")</f>
        <v/>
      </c>
      <c r="S14" s="364"/>
      <c r="T14" s="364" t="str">
        <f>IF(AND('Mapa final'!$H$27="Alta",'Mapa final'!$L$27="Menor"),CONCATENATE("R",'Mapa final'!$A$27),"")</f>
        <v/>
      </c>
      <c r="U14" s="365"/>
      <c r="V14" s="381" t="str">
        <f>IF(AND('Mapa final'!$H$24="Alta",'Mapa final'!$L$24="Moderado"),CONCATENATE("R",'Mapa final'!$A$24),"")</f>
        <v/>
      </c>
      <c r="W14" s="382"/>
      <c r="X14" s="382" t="str">
        <f>IF(AND('Mapa final'!$H$26="Alta",'Mapa final'!$L$26="Moderado"),CONCATENATE("R",'Mapa final'!$A$26),"")</f>
        <v/>
      </c>
      <c r="Y14" s="382"/>
      <c r="Z14" s="382" t="str">
        <f>IF(AND('Mapa final'!$H$27="Alta",'Mapa final'!$L$27="Moderado"),CONCATENATE("R",'Mapa final'!$A$27),"")</f>
        <v/>
      </c>
      <c r="AA14" s="383"/>
      <c r="AB14" s="381" t="str">
        <f>IF(AND('Mapa final'!$H$24="Alta",'Mapa final'!$L$24="Mayor"),CONCATENATE("R",'Mapa final'!$A$24),"")</f>
        <v/>
      </c>
      <c r="AC14" s="382"/>
      <c r="AD14" s="382" t="str">
        <f>IF(AND('Mapa final'!$H$26="Alta",'Mapa final'!$L$26="Mayor"),CONCATENATE("R",'Mapa final'!$A$26),"")</f>
        <v/>
      </c>
      <c r="AE14" s="382"/>
      <c r="AF14" s="382" t="str">
        <f>IF(AND('Mapa final'!$H$27="Alta",'Mapa final'!$L$27="Mayor"),CONCATENATE("R",'Mapa final'!$A$27),"")</f>
        <v/>
      </c>
      <c r="AG14" s="383"/>
      <c r="AH14" s="372" t="str">
        <f>IF(AND('Mapa final'!$H$24="Alta",'Mapa final'!$L$24="Catastrófico"),CONCATENATE("R",'Mapa final'!$A$24),"")</f>
        <v/>
      </c>
      <c r="AI14" s="373"/>
      <c r="AJ14" s="373" t="str">
        <f>IF(AND('Mapa final'!$H$26="Alta",'Mapa final'!$L$26="Catastrófico"),CONCATENATE("R",'Mapa final'!$A$26),"")</f>
        <v/>
      </c>
      <c r="AK14" s="373"/>
      <c r="AL14" s="373" t="str">
        <f>IF(AND('Mapa final'!$H$27="Alta",'Mapa final'!$L$27="Catastrófico"),CONCATENATE("R",'Mapa final'!$A$27),"")</f>
        <v/>
      </c>
      <c r="AM14" s="374"/>
      <c r="AN14" s="83"/>
      <c r="AO14" s="406" t="s">
        <v>95</v>
      </c>
      <c r="AP14" s="407"/>
      <c r="AQ14" s="407"/>
      <c r="AR14" s="407"/>
      <c r="AS14" s="407"/>
      <c r="AT14" s="40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395"/>
      <c r="C15" s="395"/>
      <c r="D15" s="396"/>
      <c r="E15" s="388"/>
      <c r="F15" s="389"/>
      <c r="G15" s="389"/>
      <c r="H15" s="389"/>
      <c r="I15" s="389"/>
      <c r="J15" s="357"/>
      <c r="K15" s="358"/>
      <c r="L15" s="358"/>
      <c r="M15" s="358"/>
      <c r="N15" s="358"/>
      <c r="O15" s="359"/>
      <c r="P15" s="357"/>
      <c r="Q15" s="358"/>
      <c r="R15" s="358"/>
      <c r="S15" s="358"/>
      <c r="T15" s="358"/>
      <c r="U15" s="359"/>
      <c r="V15" s="375"/>
      <c r="W15" s="376"/>
      <c r="X15" s="376"/>
      <c r="Y15" s="376"/>
      <c r="Z15" s="376"/>
      <c r="AA15" s="377"/>
      <c r="AB15" s="375"/>
      <c r="AC15" s="376"/>
      <c r="AD15" s="376"/>
      <c r="AE15" s="376"/>
      <c r="AF15" s="376"/>
      <c r="AG15" s="377"/>
      <c r="AH15" s="366"/>
      <c r="AI15" s="367"/>
      <c r="AJ15" s="367"/>
      <c r="AK15" s="367"/>
      <c r="AL15" s="367"/>
      <c r="AM15" s="368"/>
      <c r="AN15" s="83"/>
      <c r="AO15" s="409"/>
      <c r="AP15" s="410"/>
      <c r="AQ15" s="410"/>
      <c r="AR15" s="410"/>
      <c r="AS15" s="410"/>
      <c r="AT15" s="41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395"/>
      <c r="C16" s="395"/>
      <c r="D16" s="396"/>
      <c r="E16" s="388"/>
      <c r="F16" s="389"/>
      <c r="G16" s="389"/>
      <c r="H16" s="389"/>
      <c r="I16" s="389"/>
      <c r="J16" s="357" t="str">
        <f>IF(AND('Mapa final'!$H$30="Alta",'Mapa final'!$L$30="Leve"),CONCATENATE("R",'Mapa final'!$A$30),"")</f>
        <v/>
      </c>
      <c r="K16" s="358"/>
      <c r="L16" s="358" t="str">
        <f>IF(AND('Mapa final'!$H$36="Alta",'Mapa final'!$L$36="Leve"),CONCATENATE("R",'Mapa final'!$A$36),"")</f>
        <v/>
      </c>
      <c r="M16" s="358"/>
      <c r="N16" s="358" t="str">
        <f>IF(AND('Mapa final'!$H$42="Alta",'Mapa final'!$L$42="Leve"),CONCATENATE("R",'Mapa final'!$A$42),"")</f>
        <v/>
      </c>
      <c r="O16" s="359"/>
      <c r="P16" s="357" t="str">
        <f>IF(AND('Mapa final'!$H$30="Alta",'Mapa final'!$L$30="Menor"),CONCATENATE("R",'Mapa final'!$A$30),"")</f>
        <v/>
      </c>
      <c r="Q16" s="358"/>
      <c r="R16" s="358" t="str">
        <f>IF(AND('Mapa final'!$H$36="Alta",'Mapa final'!$L$36="Menor"),CONCATENATE("R",'Mapa final'!$A$36),"")</f>
        <v/>
      </c>
      <c r="S16" s="358"/>
      <c r="T16" s="358" t="str">
        <f>IF(AND('Mapa final'!$H$42="Alta",'Mapa final'!$L$42="Menor"),CONCATENATE("R",'Mapa final'!$A$42),"")</f>
        <v/>
      </c>
      <c r="U16" s="359"/>
      <c r="V16" s="375" t="str">
        <f>IF(AND('Mapa final'!$H$30="Alta",'Mapa final'!$L$30="Moderado"),CONCATENATE("R",'Mapa final'!$A$30),"")</f>
        <v/>
      </c>
      <c r="W16" s="376"/>
      <c r="X16" s="376" t="str">
        <f>IF(AND('Mapa final'!$H$36="Alta",'Mapa final'!$L$36="Moderado"),CONCATENATE("R",'Mapa final'!$A$36),"")</f>
        <v/>
      </c>
      <c r="Y16" s="376"/>
      <c r="Z16" s="376" t="str">
        <f>IF(AND('Mapa final'!$H$42="Alta",'Mapa final'!$L$42="Moderado"),CONCATENATE("R",'Mapa final'!$A$42),"")</f>
        <v/>
      </c>
      <c r="AA16" s="377"/>
      <c r="AB16" s="375" t="str">
        <f>IF(AND('Mapa final'!$H$30="Alta",'Mapa final'!$L$30="Mayor"),CONCATENATE("R",'Mapa final'!$A$30),"")</f>
        <v/>
      </c>
      <c r="AC16" s="376"/>
      <c r="AD16" s="376" t="str">
        <f>IF(AND('Mapa final'!$H$36="Alta",'Mapa final'!$L$36="Mayor"),CONCATENATE("R",'Mapa final'!$A$36),"")</f>
        <v/>
      </c>
      <c r="AE16" s="376"/>
      <c r="AF16" s="376" t="str">
        <f>IF(AND('Mapa final'!$H$42="Alta",'Mapa final'!$L$42="Mayor"),CONCATENATE("R",'Mapa final'!$A$42),"")</f>
        <v/>
      </c>
      <c r="AG16" s="377"/>
      <c r="AH16" s="366" t="str">
        <f>IF(AND('Mapa final'!$H$30="Alta",'Mapa final'!$L$30="Catastrófico"),CONCATENATE("R",'Mapa final'!$A$30),"")</f>
        <v/>
      </c>
      <c r="AI16" s="367"/>
      <c r="AJ16" s="367" t="str">
        <f>IF(AND('Mapa final'!$H$36="Alta",'Mapa final'!$L$36="Catastrófico"),CONCATENATE("R",'Mapa final'!$A$36),"")</f>
        <v/>
      </c>
      <c r="AK16" s="367"/>
      <c r="AL16" s="367" t="str">
        <f>IF(AND('Mapa final'!$H$42="Alta",'Mapa final'!$L$42="Catastrófico"),CONCATENATE("R",'Mapa final'!$A$42),"")</f>
        <v/>
      </c>
      <c r="AM16" s="368"/>
      <c r="AN16" s="83"/>
      <c r="AO16" s="409"/>
      <c r="AP16" s="410"/>
      <c r="AQ16" s="410"/>
      <c r="AR16" s="410"/>
      <c r="AS16" s="410"/>
      <c r="AT16" s="411"/>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395"/>
      <c r="C17" s="395"/>
      <c r="D17" s="396"/>
      <c r="E17" s="388"/>
      <c r="F17" s="389"/>
      <c r="G17" s="389"/>
      <c r="H17" s="389"/>
      <c r="I17" s="389"/>
      <c r="J17" s="357"/>
      <c r="K17" s="358"/>
      <c r="L17" s="358"/>
      <c r="M17" s="358"/>
      <c r="N17" s="358"/>
      <c r="O17" s="359"/>
      <c r="P17" s="357"/>
      <c r="Q17" s="358"/>
      <c r="R17" s="358"/>
      <c r="S17" s="358"/>
      <c r="T17" s="358"/>
      <c r="U17" s="359"/>
      <c r="V17" s="375"/>
      <c r="W17" s="376"/>
      <c r="X17" s="376"/>
      <c r="Y17" s="376"/>
      <c r="Z17" s="376"/>
      <c r="AA17" s="377"/>
      <c r="AB17" s="375"/>
      <c r="AC17" s="376"/>
      <c r="AD17" s="376"/>
      <c r="AE17" s="376"/>
      <c r="AF17" s="376"/>
      <c r="AG17" s="377"/>
      <c r="AH17" s="366"/>
      <c r="AI17" s="367"/>
      <c r="AJ17" s="367"/>
      <c r="AK17" s="367"/>
      <c r="AL17" s="367"/>
      <c r="AM17" s="368"/>
      <c r="AN17" s="83"/>
      <c r="AO17" s="409"/>
      <c r="AP17" s="410"/>
      <c r="AQ17" s="410"/>
      <c r="AR17" s="410"/>
      <c r="AS17" s="410"/>
      <c r="AT17" s="41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395"/>
      <c r="C18" s="395"/>
      <c r="D18" s="396"/>
      <c r="E18" s="388"/>
      <c r="F18" s="389"/>
      <c r="G18" s="389"/>
      <c r="H18" s="389"/>
      <c r="I18" s="389"/>
      <c r="J18" s="357" t="str">
        <f>IF(AND('Mapa final'!$H$48="Alta",'Mapa final'!$L$48="Leve"),CONCATENATE("R",'Mapa final'!$A$48),"")</f>
        <v/>
      </c>
      <c r="K18" s="358"/>
      <c r="L18" s="358" t="str">
        <f>IF(AND('Mapa final'!$H$50="Alta",'Mapa final'!$L$50="Leve"),CONCATENATE("R",'Mapa final'!$A$50),"")</f>
        <v/>
      </c>
      <c r="M18" s="358"/>
      <c r="N18" s="358" t="str">
        <f>IF(AND('Mapa final'!$H$56="Alta",'Mapa final'!$L$56="Leve"),CONCATENATE("R",'Mapa final'!$A$56),"")</f>
        <v/>
      </c>
      <c r="O18" s="359"/>
      <c r="P18" s="357" t="str">
        <f>IF(AND('Mapa final'!$H$48="Alta",'Mapa final'!$L$48="Menor"),CONCATENATE("R",'Mapa final'!$A$48),"")</f>
        <v/>
      </c>
      <c r="Q18" s="358"/>
      <c r="R18" s="358" t="str">
        <f>IF(AND('Mapa final'!$H$50="Alta",'Mapa final'!$L$50="Menor"),CONCATENATE("R",'Mapa final'!$A$50),"")</f>
        <v/>
      </c>
      <c r="S18" s="358"/>
      <c r="T18" s="358" t="str">
        <f>IF(AND('Mapa final'!$H$56="Alta",'Mapa final'!$L$56="Menor"),CONCATENATE("R",'Mapa final'!$A$56),"")</f>
        <v/>
      </c>
      <c r="U18" s="359"/>
      <c r="V18" s="375" t="str">
        <f>IF(AND('Mapa final'!$H$48="Alta",'Mapa final'!$L$48="Moderado"),CONCATENATE("R",'Mapa final'!$A$48),"")</f>
        <v/>
      </c>
      <c r="W18" s="376"/>
      <c r="X18" s="376" t="str">
        <f>IF(AND('Mapa final'!$H$50="Alta",'Mapa final'!$L$50="Moderado"),CONCATENATE("R",'Mapa final'!$A$50),"")</f>
        <v/>
      </c>
      <c r="Y18" s="376"/>
      <c r="Z18" s="376" t="str">
        <f>IF(AND('Mapa final'!$H$56="Alta",'Mapa final'!$L$56="Moderado"),CONCATENATE("R",'Mapa final'!$A$56),"")</f>
        <v/>
      </c>
      <c r="AA18" s="377"/>
      <c r="AB18" s="375" t="str">
        <f>IF(AND('Mapa final'!$H$48="Alta",'Mapa final'!$L$48="Mayor"),CONCATENATE("R",'Mapa final'!$A$48),"")</f>
        <v/>
      </c>
      <c r="AC18" s="376"/>
      <c r="AD18" s="376" t="str">
        <f>IF(AND('Mapa final'!$H$50="Alta",'Mapa final'!$L$50="Mayor"),CONCATENATE("R",'Mapa final'!$A$50),"")</f>
        <v/>
      </c>
      <c r="AE18" s="376"/>
      <c r="AF18" s="376" t="str">
        <f>IF(AND('Mapa final'!$H$56="Alta",'Mapa final'!$L$56="Mayor"),CONCATENATE("R",'Mapa final'!$A$56),"")</f>
        <v/>
      </c>
      <c r="AG18" s="377"/>
      <c r="AH18" s="366" t="str">
        <f>IF(AND('Mapa final'!$H$48="Alta",'Mapa final'!$L$48="Catastrófico"),CONCATENATE("R",'Mapa final'!$A$48),"")</f>
        <v/>
      </c>
      <c r="AI18" s="367"/>
      <c r="AJ18" s="367" t="str">
        <f>IF(AND('Mapa final'!$H$50="Alta",'Mapa final'!$L$50="Catastrófico"),CONCATENATE("R",'Mapa final'!$A$50),"")</f>
        <v/>
      </c>
      <c r="AK18" s="367"/>
      <c r="AL18" s="367" t="str">
        <f>IF(AND('Mapa final'!$H$56="Alta",'Mapa final'!$L$56="Catastrófico"),CONCATENATE("R",'Mapa final'!$A$56),"")</f>
        <v/>
      </c>
      <c r="AM18" s="368"/>
      <c r="AN18" s="83"/>
      <c r="AO18" s="409"/>
      <c r="AP18" s="410"/>
      <c r="AQ18" s="410"/>
      <c r="AR18" s="410"/>
      <c r="AS18" s="410"/>
      <c r="AT18" s="41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395"/>
      <c r="C19" s="395"/>
      <c r="D19" s="396"/>
      <c r="E19" s="388"/>
      <c r="F19" s="389"/>
      <c r="G19" s="389"/>
      <c r="H19" s="389"/>
      <c r="I19" s="389"/>
      <c r="J19" s="357"/>
      <c r="K19" s="358"/>
      <c r="L19" s="358"/>
      <c r="M19" s="358"/>
      <c r="N19" s="358"/>
      <c r="O19" s="359"/>
      <c r="P19" s="357"/>
      <c r="Q19" s="358"/>
      <c r="R19" s="358"/>
      <c r="S19" s="358"/>
      <c r="T19" s="358"/>
      <c r="U19" s="359"/>
      <c r="V19" s="375"/>
      <c r="W19" s="376"/>
      <c r="X19" s="376"/>
      <c r="Y19" s="376"/>
      <c r="Z19" s="376"/>
      <c r="AA19" s="377"/>
      <c r="AB19" s="375"/>
      <c r="AC19" s="376"/>
      <c r="AD19" s="376"/>
      <c r="AE19" s="376"/>
      <c r="AF19" s="376"/>
      <c r="AG19" s="377"/>
      <c r="AH19" s="366"/>
      <c r="AI19" s="367"/>
      <c r="AJ19" s="367"/>
      <c r="AK19" s="367"/>
      <c r="AL19" s="367"/>
      <c r="AM19" s="368"/>
      <c r="AN19" s="83"/>
      <c r="AO19" s="409"/>
      <c r="AP19" s="410"/>
      <c r="AQ19" s="410"/>
      <c r="AR19" s="410"/>
      <c r="AS19" s="410"/>
      <c r="AT19" s="41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395"/>
      <c r="C20" s="395"/>
      <c r="D20" s="396"/>
      <c r="E20" s="388"/>
      <c r="F20" s="389"/>
      <c r="G20" s="389"/>
      <c r="H20" s="389"/>
      <c r="I20" s="389"/>
      <c r="J20" s="357" t="str">
        <f>IF(AND('Mapa final'!$H$62="Alta",'Mapa final'!$L$62="Leve"),CONCATENATE("R",'Mapa final'!$A$62),"")</f>
        <v/>
      </c>
      <c r="K20" s="358"/>
      <c r="L20" s="358" t="str">
        <f>IF(AND('Mapa final'!$H$68="Alta",'Mapa final'!$L$68="Leve"),CONCATENATE("R",'Mapa final'!$A$68),"")</f>
        <v/>
      </c>
      <c r="M20" s="358"/>
      <c r="N20" s="358" t="str">
        <f>IF(AND('Mapa final'!$H$74="Alta",'Mapa final'!$L$74="Leve"),CONCATENATE("R",'Mapa final'!$A$74),"")</f>
        <v/>
      </c>
      <c r="O20" s="359"/>
      <c r="P20" s="357" t="str">
        <f>IF(AND('Mapa final'!$H$62="Alta",'Mapa final'!$L$62="Menor"),CONCATENATE("R",'Mapa final'!$A$62),"")</f>
        <v/>
      </c>
      <c r="Q20" s="358"/>
      <c r="R20" s="358" t="str">
        <f>IF(AND('Mapa final'!$H$68="Alta",'Mapa final'!$L$68="Menor"),CONCATENATE("R",'Mapa final'!$A$68),"")</f>
        <v/>
      </c>
      <c r="S20" s="358"/>
      <c r="T20" s="358" t="str">
        <f>IF(AND('Mapa final'!$H$74="Alta",'Mapa final'!$L$74="Menor"),CONCATENATE("R",'Mapa final'!$A$74),"")</f>
        <v/>
      </c>
      <c r="U20" s="359"/>
      <c r="V20" s="375" t="str">
        <f>IF(AND('Mapa final'!$H$62="Alta",'Mapa final'!$L$62="Moderado"),CONCATENATE("R",'Mapa final'!$A$62),"")</f>
        <v/>
      </c>
      <c r="W20" s="376"/>
      <c r="X20" s="376" t="str">
        <f>IF(AND('Mapa final'!$H$68="Alta",'Mapa final'!$L$68="Moderado"),CONCATENATE("R",'Mapa final'!$A$68),"")</f>
        <v/>
      </c>
      <c r="Y20" s="376"/>
      <c r="Z20" s="376" t="str">
        <f>IF(AND('Mapa final'!$H$74="Alta",'Mapa final'!$L$74="Moderado"),CONCATENATE("R",'Mapa final'!$A$74),"")</f>
        <v/>
      </c>
      <c r="AA20" s="377"/>
      <c r="AB20" s="375" t="str">
        <f>IF(AND('Mapa final'!$H$62="Alta",'Mapa final'!$L$62="Mayor"),CONCATENATE("R",'Mapa final'!$A$62),"")</f>
        <v/>
      </c>
      <c r="AC20" s="376"/>
      <c r="AD20" s="376" t="str">
        <f>IF(AND('Mapa final'!$H$68="Alta",'Mapa final'!$L$68="Mayor"),CONCATENATE("R",'Mapa final'!$A$68),"")</f>
        <v/>
      </c>
      <c r="AE20" s="376"/>
      <c r="AF20" s="376" t="str">
        <f>IF(AND('Mapa final'!$H$74="Alta",'Mapa final'!$L$74="Mayor"),CONCATENATE("R",'Mapa final'!$A$74),"")</f>
        <v/>
      </c>
      <c r="AG20" s="377"/>
      <c r="AH20" s="366" t="str">
        <f>IF(AND('Mapa final'!$H$62="Alta",'Mapa final'!$L$62="Catastrófico"),CONCATENATE("R",'Mapa final'!$A$62),"")</f>
        <v/>
      </c>
      <c r="AI20" s="367"/>
      <c r="AJ20" s="367" t="str">
        <f>IF(AND('Mapa final'!$H$68="Alta",'Mapa final'!$L$68="Catastrófico"),CONCATENATE("R",'Mapa final'!$A$68),"")</f>
        <v/>
      </c>
      <c r="AK20" s="367"/>
      <c r="AL20" s="367" t="str">
        <f>IF(AND('Mapa final'!$H$74="Alta",'Mapa final'!$L$74="Catastrófico"),CONCATENATE("R",'Mapa final'!$A$74),"")</f>
        <v/>
      </c>
      <c r="AM20" s="368"/>
      <c r="AN20" s="83"/>
      <c r="AO20" s="409"/>
      <c r="AP20" s="410"/>
      <c r="AQ20" s="410"/>
      <c r="AR20" s="410"/>
      <c r="AS20" s="410"/>
      <c r="AT20" s="41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395"/>
      <c r="C21" s="395"/>
      <c r="D21" s="396"/>
      <c r="E21" s="391"/>
      <c r="F21" s="392"/>
      <c r="G21" s="392"/>
      <c r="H21" s="392"/>
      <c r="I21" s="392"/>
      <c r="J21" s="360"/>
      <c r="K21" s="361"/>
      <c r="L21" s="361"/>
      <c r="M21" s="361"/>
      <c r="N21" s="361"/>
      <c r="O21" s="362"/>
      <c r="P21" s="360"/>
      <c r="Q21" s="361"/>
      <c r="R21" s="361"/>
      <c r="S21" s="361"/>
      <c r="T21" s="361"/>
      <c r="U21" s="362"/>
      <c r="V21" s="378"/>
      <c r="W21" s="379"/>
      <c r="X21" s="379"/>
      <c r="Y21" s="379"/>
      <c r="Z21" s="379"/>
      <c r="AA21" s="380"/>
      <c r="AB21" s="378"/>
      <c r="AC21" s="379"/>
      <c r="AD21" s="379"/>
      <c r="AE21" s="379"/>
      <c r="AF21" s="379"/>
      <c r="AG21" s="380"/>
      <c r="AH21" s="369"/>
      <c r="AI21" s="370"/>
      <c r="AJ21" s="370"/>
      <c r="AK21" s="370"/>
      <c r="AL21" s="370"/>
      <c r="AM21" s="371"/>
      <c r="AN21" s="83"/>
      <c r="AO21" s="412"/>
      <c r="AP21" s="413"/>
      <c r="AQ21" s="413"/>
      <c r="AR21" s="413"/>
      <c r="AS21" s="413"/>
      <c r="AT21" s="414"/>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395"/>
      <c r="C22" s="395"/>
      <c r="D22" s="396"/>
      <c r="E22" s="385" t="s">
        <v>96</v>
      </c>
      <c r="F22" s="386"/>
      <c r="G22" s="386"/>
      <c r="H22" s="386"/>
      <c r="I22" s="387"/>
      <c r="J22" s="363" t="str">
        <f>IF(AND('Mapa final'!$H$24="Media",'Mapa final'!$L$24="Leve"),CONCATENATE("R",'Mapa final'!$A$24),"")</f>
        <v/>
      </c>
      <c r="K22" s="364"/>
      <c r="L22" s="364" t="str">
        <f>IF(AND('Mapa final'!$H$26="Media",'Mapa final'!$L$26="Leve"),CONCATENATE("R",'Mapa final'!$A$26),"")</f>
        <v/>
      </c>
      <c r="M22" s="364"/>
      <c r="N22" s="364" t="str">
        <f>IF(AND('Mapa final'!$H$27="Media",'Mapa final'!$L$27="Leve"),CONCATENATE("R",'Mapa final'!$A$27),"")</f>
        <v/>
      </c>
      <c r="O22" s="365"/>
      <c r="P22" s="363" t="str">
        <f>IF(AND('Mapa final'!$H$24="Media",'Mapa final'!$L$24="Menor"),CONCATENATE("R",'Mapa final'!$A$24),"")</f>
        <v/>
      </c>
      <c r="Q22" s="364"/>
      <c r="R22" s="364" t="str">
        <f>IF(AND('Mapa final'!$H$26="Media",'Mapa final'!$L$26="Menor"),CONCATENATE("R",'Mapa final'!$A$26),"")</f>
        <v/>
      </c>
      <c r="S22" s="364"/>
      <c r="T22" s="364" t="str">
        <f>IF(AND('Mapa final'!$H$27="Media",'Mapa final'!$L$27="Menor"),CONCATENATE("R",'Mapa final'!$A$27),"")</f>
        <v/>
      </c>
      <c r="U22" s="365"/>
      <c r="V22" s="363" t="str">
        <f>IF(AND('Mapa final'!$H$24="Media",'Mapa final'!$L$24="Moderado"),CONCATENATE("R",'Mapa final'!$A$24),"")</f>
        <v/>
      </c>
      <c r="W22" s="364"/>
      <c r="X22" s="364" t="str">
        <f>IF(AND('Mapa final'!$H$26="Media",'Mapa final'!$L$26="Moderado"),CONCATENATE("R",'Mapa final'!$A$26),"")</f>
        <v>R2</v>
      </c>
      <c r="Y22" s="364"/>
      <c r="Z22" s="364" t="str">
        <f>IF(AND('Mapa final'!$H$27="Media",'Mapa final'!$L$27="Moderado"),CONCATENATE("R",'Mapa final'!$A$27),"")</f>
        <v>R3</v>
      </c>
      <c r="AA22" s="365"/>
      <c r="AB22" s="381" t="str">
        <f>IF(AND('Mapa final'!$H$24="Media",'Mapa final'!$L$24="Mayor"),CONCATENATE("R",'Mapa final'!$A$24),"")</f>
        <v>R1</v>
      </c>
      <c r="AC22" s="382"/>
      <c r="AD22" s="382" t="str">
        <f>IF(AND('Mapa final'!$H$26="Media",'Mapa final'!$L$26="Mayor"),CONCATENATE("R",'Mapa final'!$A$26),"")</f>
        <v/>
      </c>
      <c r="AE22" s="382"/>
      <c r="AF22" s="382" t="str">
        <f>IF(AND('Mapa final'!$H$27="Media",'Mapa final'!$L$27="Mayor"),CONCATENATE("R",'Mapa final'!$A$27),"")</f>
        <v/>
      </c>
      <c r="AG22" s="383"/>
      <c r="AH22" s="372" t="str">
        <f>IF(AND('Mapa final'!$H$24="Media",'Mapa final'!$L$24="Catastrófico"),CONCATENATE("R",'Mapa final'!$A$24),"")</f>
        <v/>
      </c>
      <c r="AI22" s="373"/>
      <c r="AJ22" s="373" t="str">
        <f>IF(AND('Mapa final'!$H$26="Media",'Mapa final'!$L$26="Catastrófico"),CONCATENATE("R",'Mapa final'!$A$26),"")</f>
        <v/>
      </c>
      <c r="AK22" s="373"/>
      <c r="AL22" s="373" t="str">
        <f>IF(AND('Mapa final'!$H$27="Media",'Mapa final'!$L$27="Catastrófico"),CONCATENATE("R",'Mapa final'!$A$27),"")</f>
        <v/>
      </c>
      <c r="AM22" s="374"/>
      <c r="AN22" s="83"/>
      <c r="AO22" s="415" t="s">
        <v>97</v>
      </c>
      <c r="AP22" s="416"/>
      <c r="AQ22" s="416"/>
      <c r="AR22" s="416"/>
      <c r="AS22" s="416"/>
      <c r="AT22" s="41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395"/>
      <c r="C23" s="395"/>
      <c r="D23" s="396"/>
      <c r="E23" s="388"/>
      <c r="F23" s="389"/>
      <c r="G23" s="389"/>
      <c r="H23" s="389"/>
      <c r="I23" s="390"/>
      <c r="J23" s="357"/>
      <c r="K23" s="358"/>
      <c r="L23" s="358"/>
      <c r="M23" s="358"/>
      <c r="N23" s="358"/>
      <c r="O23" s="359"/>
      <c r="P23" s="357"/>
      <c r="Q23" s="358"/>
      <c r="R23" s="358"/>
      <c r="S23" s="358"/>
      <c r="T23" s="358"/>
      <c r="U23" s="359"/>
      <c r="V23" s="357"/>
      <c r="W23" s="358"/>
      <c r="X23" s="358"/>
      <c r="Y23" s="358"/>
      <c r="Z23" s="358"/>
      <c r="AA23" s="359"/>
      <c r="AB23" s="375"/>
      <c r="AC23" s="376"/>
      <c r="AD23" s="376"/>
      <c r="AE23" s="376"/>
      <c r="AF23" s="376"/>
      <c r="AG23" s="377"/>
      <c r="AH23" s="366"/>
      <c r="AI23" s="367"/>
      <c r="AJ23" s="367"/>
      <c r="AK23" s="367"/>
      <c r="AL23" s="367"/>
      <c r="AM23" s="368"/>
      <c r="AN23" s="83"/>
      <c r="AO23" s="418"/>
      <c r="AP23" s="419"/>
      <c r="AQ23" s="419"/>
      <c r="AR23" s="419"/>
      <c r="AS23" s="419"/>
      <c r="AT23" s="42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395"/>
      <c r="C24" s="395"/>
      <c r="D24" s="396"/>
      <c r="E24" s="388"/>
      <c r="F24" s="389"/>
      <c r="G24" s="389"/>
      <c r="H24" s="389"/>
      <c r="I24" s="390"/>
      <c r="J24" s="357" t="str">
        <f>IF(AND('Mapa final'!$H$30="Media",'Mapa final'!$L$30="Leve"),CONCATENATE("R",'Mapa final'!$A$30),"")</f>
        <v/>
      </c>
      <c r="K24" s="358"/>
      <c r="L24" s="358" t="str">
        <f>IF(AND('Mapa final'!$H$36="Media",'Mapa final'!$L$36="Leve"),CONCATENATE("R",'Mapa final'!$A$36),"")</f>
        <v/>
      </c>
      <c r="M24" s="358"/>
      <c r="N24" s="358" t="str">
        <f>IF(AND('Mapa final'!$H$42="Media",'Mapa final'!$L$42="Leve"),CONCATENATE("R",'Mapa final'!$A$42),"")</f>
        <v/>
      </c>
      <c r="O24" s="359"/>
      <c r="P24" s="357" t="str">
        <f>IF(AND('Mapa final'!$H$30="Media",'Mapa final'!$L$30="Menor"),CONCATENATE("R",'Mapa final'!$A$30),"")</f>
        <v/>
      </c>
      <c r="Q24" s="358"/>
      <c r="R24" s="358" t="str">
        <f>IF(AND('Mapa final'!$H$36="Media",'Mapa final'!$L$36="Menor"),CONCATENATE("R",'Mapa final'!$A$36),"")</f>
        <v/>
      </c>
      <c r="S24" s="358"/>
      <c r="T24" s="358" t="str">
        <f>IF(AND('Mapa final'!$H$42="Media",'Mapa final'!$L$42="Menor"),CONCATENATE("R",'Mapa final'!$A$42),"")</f>
        <v/>
      </c>
      <c r="U24" s="359"/>
      <c r="V24" s="357" t="str">
        <f>IF(AND('Mapa final'!$H$30="Media",'Mapa final'!$L$30="Moderado"),CONCATENATE("R",'Mapa final'!$A$30),"")</f>
        <v/>
      </c>
      <c r="W24" s="358"/>
      <c r="X24" s="358" t="str">
        <f>IF(AND('Mapa final'!$H$36="Media",'Mapa final'!$L$36="Moderado"),CONCATENATE("R",'Mapa final'!$A$36),"")</f>
        <v/>
      </c>
      <c r="Y24" s="358"/>
      <c r="Z24" s="358" t="str">
        <f>IF(AND('Mapa final'!$H$42="Media",'Mapa final'!$L$42="Moderado"),CONCATENATE("R",'Mapa final'!$A$42),"")</f>
        <v/>
      </c>
      <c r="AA24" s="359"/>
      <c r="AB24" s="375" t="str">
        <f>IF(AND('Mapa final'!$H$30="Media",'Mapa final'!$L$30="Mayor"),CONCATENATE("R",'Mapa final'!$A$30),"")</f>
        <v/>
      </c>
      <c r="AC24" s="376"/>
      <c r="AD24" s="376" t="str">
        <f>IF(AND('Mapa final'!$H$36="Media",'Mapa final'!$L$36="Mayor"),CONCATENATE("R",'Mapa final'!$A$36),"")</f>
        <v/>
      </c>
      <c r="AE24" s="376"/>
      <c r="AF24" s="376" t="str">
        <f>IF(AND('Mapa final'!$H$42="Media",'Mapa final'!$L$42="Mayor"),CONCATENATE("R",'Mapa final'!$A$42),"")</f>
        <v/>
      </c>
      <c r="AG24" s="377"/>
      <c r="AH24" s="366" t="str">
        <f>IF(AND('Mapa final'!$H$30="Media",'Mapa final'!$L$30="Catastrófico"),CONCATENATE("R",'Mapa final'!$A$30),"")</f>
        <v/>
      </c>
      <c r="AI24" s="367"/>
      <c r="AJ24" s="367" t="str">
        <f>IF(AND('Mapa final'!$H$36="Media",'Mapa final'!$L$36="Catastrófico"),CONCATENATE("R",'Mapa final'!$A$36),"")</f>
        <v/>
      </c>
      <c r="AK24" s="367"/>
      <c r="AL24" s="367" t="str">
        <f>IF(AND('Mapa final'!$H$42="Media",'Mapa final'!$L$42="Catastrófico"),CONCATENATE("R",'Mapa final'!$A$42),"")</f>
        <v/>
      </c>
      <c r="AM24" s="368"/>
      <c r="AN24" s="83"/>
      <c r="AO24" s="418"/>
      <c r="AP24" s="419"/>
      <c r="AQ24" s="419"/>
      <c r="AR24" s="419"/>
      <c r="AS24" s="419"/>
      <c r="AT24" s="42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395"/>
      <c r="C25" s="395"/>
      <c r="D25" s="396"/>
      <c r="E25" s="388"/>
      <c r="F25" s="389"/>
      <c r="G25" s="389"/>
      <c r="H25" s="389"/>
      <c r="I25" s="390"/>
      <c r="J25" s="357"/>
      <c r="K25" s="358"/>
      <c r="L25" s="358"/>
      <c r="M25" s="358"/>
      <c r="N25" s="358"/>
      <c r="O25" s="359"/>
      <c r="P25" s="357"/>
      <c r="Q25" s="358"/>
      <c r="R25" s="358"/>
      <c r="S25" s="358"/>
      <c r="T25" s="358"/>
      <c r="U25" s="359"/>
      <c r="V25" s="357"/>
      <c r="W25" s="358"/>
      <c r="X25" s="358"/>
      <c r="Y25" s="358"/>
      <c r="Z25" s="358"/>
      <c r="AA25" s="359"/>
      <c r="AB25" s="375"/>
      <c r="AC25" s="376"/>
      <c r="AD25" s="376"/>
      <c r="AE25" s="376"/>
      <c r="AF25" s="376"/>
      <c r="AG25" s="377"/>
      <c r="AH25" s="366"/>
      <c r="AI25" s="367"/>
      <c r="AJ25" s="367"/>
      <c r="AK25" s="367"/>
      <c r="AL25" s="367"/>
      <c r="AM25" s="368"/>
      <c r="AN25" s="83"/>
      <c r="AO25" s="418"/>
      <c r="AP25" s="419"/>
      <c r="AQ25" s="419"/>
      <c r="AR25" s="419"/>
      <c r="AS25" s="419"/>
      <c r="AT25" s="42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395"/>
      <c r="C26" s="395"/>
      <c r="D26" s="396"/>
      <c r="E26" s="388"/>
      <c r="F26" s="389"/>
      <c r="G26" s="389"/>
      <c r="H26" s="389"/>
      <c r="I26" s="390"/>
      <c r="J26" s="357" t="str">
        <f>IF(AND('Mapa final'!$H$48="Media",'Mapa final'!$L$48="Leve"),CONCATENATE("R",'Mapa final'!$A$48),"")</f>
        <v/>
      </c>
      <c r="K26" s="358"/>
      <c r="L26" s="358" t="str">
        <f>IF(AND('Mapa final'!$H$50="Media",'Mapa final'!$L$50="Leve"),CONCATENATE("R",'Mapa final'!$A$50),"")</f>
        <v/>
      </c>
      <c r="M26" s="358"/>
      <c r="N26" s="358" t="str">
        <f>IF(AND('Mapa final'!$H$56="Media",'Mapa final'!$L$56="Leve"),CONCATENATE("R",'Mapa final'!$A$56),"")</f>
        <v/>
      </c>
      <c r="O26" s="359"/>
      <c r="P26" s="357" t="str">
        <f>IF(AND('Mapa final'!$H$48="Media",'Mapa final'!$L$48="Menor"),CONCATENATE("R",'Mapa final'!$A$48),"")</f>
        <v/>
      </c>
      <c r="Q26" s="358"/>
      <c r="R26" s="358" t="str">
        <f>IF(AND('Mapa final'!$H$50="Media",'Mapa final'!$L$50="Menor"),CONCATENATE("R",'Mapa final'!$A$50),"")</f>
        <v/>
      </c>
      <c r="S26" s="358"/>
      <c r="T26" s="358" t="str">
        <f>IF(AND('Mapa final'!$H$56="Media",'Mapa final'!$L$56="Menor"),CONCATENATE("R",'Mapa final'!$A$56),"")</f>
        <v/>
      </c>
      <c r="U26" s="359"/>
      <c r="V26" s="357" t="str">
        <f>IF(AND('Mapa final'!$H$48="Media",'Mapa final'!$L$48="Moderado"),CONCATENATE("R",'Mapa final'!$A$48),"")</f>
        <v/>
      </c>
      <c r="W26" s="358"/>
      <c r="X26" s="358" t="str">
        <f>IF(AND('Mapa final'!$H$50="Media",'Mapa final'!$L$50="Moderado"),CONCATENATE("R",'Mapa final'!$A$50),"")</f>
        <v/>
      </c>
      <c r="Y26" s="358"/>
      <c r="Z26" s="358" t="str">
        <f>IF(AND('Mapa final'!$H$56="Media",'Mapa final'!$L$56="Moderado"),CONCATENATE("R",'Mapa final'!$A$56),"")</f>
        <v/>
      </c>
      <c r="AA26" s="359"/>
      <c r="AB26" s="375" t="str">
        <f>IF(AND('Mapa final'!$H$48="Media",'Mapa final'!$L$48="Mayor"),CONCATENATE("R",'Mapa final'!$A$48),"")</f>
        <v/>
      </c>
      <c r="AC26" s="376"/>
      <c r="AD26" s="376" t="str">
        <f>IF(AND('Mapa final'!$H$50="Media",'Mapa final'!$L$50="Mayor"),CONCATENATE("R",'Mapa final'!$A$50),"")</f>
        <v/>
      </c>
      <c r="AE26" s="376"/>
      <c r="AF26" s="376" t="str">
        <f>IF(AND('Mapa final'!$H$56="Media",'Mapa final'!$L$56="Mayor"),CONCATENATE("R",'Mapa final'!$A$56),"")</f>
        <v/>
      </c>
      <c r="AG26" s="377"/>
      <c r="AH26" s="366" t="str">
        <f>IF(AND('Mapa final'!$H$48="Media",'Mapa final'!$L$48="Catastrófico"),CONCATENATE("R",'Mapa final'!$A$48),"")</f>
        <v/>
      </c>
      <c r="AI26" s="367"/>
      <c r="AJ26" s="367" t="str">
        <f>IF(AND('Mapa final'!$H$50="Media",'Mapa final'!$L$50="Catastrófico"),CONCATENATE("R",'Mapa final'!$A$50),"")</f>
        <v/>
      </c>
      <c r="AK26" s="367"/>
      <c r="AL26" s="367" t="str">
        <f>IF(AND('Mapa final'!$H$56="Media",'Mapa final'!$L$56="Catastrófico"),CONCATENATE("R",'Mapa final'!$A$56),"")</f>
        <v/>
      </c>
      <c r="AM26" s="368"/>
      <c r="AN26" s="83"/>
      <c r="AO26" s="418"/>
      <c r="AP26" s="419"/>
      <c r="AQ26" s="419"/>
      <c r="AR26" s="419"/>
      <c r="AS26" s="419"/>
      <c r="AT26" s="42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395"/>
      <c r="C27" s="395"/>
      <c r="D27" s="396"/>
      <c r="E27" s="388"/>
      <c r="F27" s="389"/>
      <c r="G27" s="389"/>
      <c r="H27" s="389"/>
      <c r="I27" s="390"/>
      <c r="J27" s="357"/>
      <c r="K27" s="358"/>
      <c r="L27" s="358"/>
      <c r="M27" s="358"/>
      <c r="N27" s="358"/>
      <c r="O27" s="359"/>
      <c r="P27" s="357"/>
      <c r="Q27" s="358"/>
      <c r="R27" s="358"/>
      <c r="S27" s="358"/>
      <c r="T27" s="358"/>
      <c r="U27" s="359"/>
      <c r="V27" s="357"/>
      <c r="W27" s="358"/>
      <c r="X27" s="358"/>
      <c r="Y27" s="358"/>
      <c r="Z27" s="358"/>
      <c r="AA27" s="359"/>
      <c r="AB27" s="375"/>
      <c r="AC27" s="376"/>
      <c r="AD27" s="376"/>
      <c r="AE27" s="376"/>
      <c r="AF27" s="376"/>
      <c r="AG27" s="377"/>
      <c r="AH27" s="366"/>
      <c r="AI27" s="367"/>
      <c r="AJ27" s="367"/>
      <c r="AK27" s="367"/>
      <c r="AL27" s="367"/>
      <c r="AM27" s="368"/>
      <c r="AN27" s="83"/>
      <c r="AO27" s="418"/>
      <c r="AP27" s="419"/>
      <c r="AQ27" s="419"/>
      <c r="AR27" s="419"/>
      <c r="AS27" s="419"/>
      <c r="AT27" s="42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395"/>
      <c r="C28" s="395"/>
      <c r="D28" s="396"/>
      <c r="E28" s="388"/>
      <c r="F28" s="389"/>
      <c r="G28" s="389"/>
      <c r="H28" s="389"/>
      <c r="I28" s="390"/>
      <c r="J28" s="357" t="str">
        <f>IF(AND('Mapa final'!$H$62="Media",'Mapa final'!$L$62="Leve"),CONCATENATE("R",'Mapa final'!$A$62),"")</f>
        <v/>
      </c>
      <c r="K28" s="358"/>
      <c r="L28" s="358" t="str">
        <f>IF(AND('Mapa final'!$H$68="Media",'Mapa final'!$L$68="Leve"),CONCATENATE("R",'Mapa final'!$A$68),"")</f>
        <v/>
      </c>
      <c r="M28" s="358"/>
      <c r="N28" s="358" t="str">
        <f>IF(AND('Mapa final'!$H$74="Media",'Mapa final'!$L$74="Leve"),CONCATENATE("R",'Mapa final'!$A$74),"")</f>
        <v/>
      </c>
      <c r="O28" s="359"/>
      <c r="P28" s="357" t="str">
        <f>IF(AND('Mapa final'!$H$62="Media",'Mapa final'!$L$62="Menor"),CONCATENATE("R",'Mapa final'!$A$62),"")</f>
        <v/>
      </c>
      <c r="Q28" s="358"/>
      <c r="R28" s="358" t="str">
        <f>IF(AND('Mapa final'!$H$68="Media",'Mapa final'!$L$68="Menor"),CONCATENATE("R",'Mapa final'!$A$68),"")</f>
        <v/>
      </c>
      <c r="S28" s="358"/>
      <c r="T28" s="358" t="str">
        <f>IF(AND('Mapa final'!$H$74="Media",'Mapa final'!$L$74="Menor"),CONCATENATE("R",'Mapa final'!$A$74),"")</f>
        <v/>
      </c>
      <c r="U28" s="359"/>
      <c r="V28" s="357" t="str">
        <f>IF(AND('Mapa final'!$H$62="Media",'Mapa final'!$L$62="Moderado"),CONCATENATE("R",'Mapa final'!$A$62),"")</f>
        <v/>
      </c>
      <c r="W28" s="358"/>
      <c r="X28" s="358" t="str">
        <f>IF(AND('Mapa final'!$H$68="Media",'Mapa final'!$L$68="Moderado"),CONCATENATE("R",'Mapa final'!$A$68),"")</f>
        <v/>
      </c>
      <c r="Y28" s="358"/>
      <c r="Z28" s="358" t="str">
        <f>IF(AND('Mapa final'!$H$74="Media",'Mapa final'!$L$74="Moderado"),CONCATENATE("R",'Mapa final'!$A$74),"")</f>
        <v/>
      </c>
      <c r="AA28" s="359"/>
      <c r="AB28" s="375" t="str">
        <f>IF(AND('Mapa final'!$H$62="Media",'Mapa final'!$L$62="Mayor"),CONCATENATE("R",'Mapa final'!$A$62),"")</f>
        <v/>
      </c>
      <c r="AC28" s="376"/>
      <c r="AD28" s="376" t="str">
        <f>IF(AND('Mapa final'!$H$68="Media",'Mapa final'!$L$68="Mayor"),CONCATENATE("R",'Mapa final'!$A$68),"")</f>
        <v/>
      </c>
      <c r="AE28" s="376"/>
      <c r="AF28" s="376" t="str">
        <f>IF(AND('Mapa final'!$H$74="Media",'Mapa final'!$L$74="Mayor"),CONCATENATE("R",'Mapa final'!$A$74),"")</f>
        <v/>
      </c>
      <c r="AG28" s="377"/>
      <c r="AH28" s="366" t="str">
        <f>IF(AND('Mapa final'!$H$62="Media",'Mapa final'!$L$62="Catastrófico"),CONCATENATE("R",'Mapa final'!$A$62),"")</f>
        <v/>
      </c>
      <c r="AI28" s="367"/>
      <c r="AJ28" s="367" t="str">
        <f>IF(AND('Mapa final'!$H$68="Media",'Mapa final'!$L$68="Catastrófico"),CONCATENATE("R",'Mapa final'!$A$68),"")</f>
        <v/>
      </c>
      <c r="AK28" s="367"/>
      <c r="AL28" s="367" t="str">
        <f>IF(AND('Mapa final'!$H$74="Media",'Mapa final'!$L$74="Catastrófico"),CONCATENATE("R",'Mapa final'!$A$74),"")</f>
        <v/>
      </c>
      <c r="AM28" s="368"/>
      <c r="AN28" s="83"/>
      <c r="AO28" s="418"/>
      <c r="AP28" s="419"/>
      <c r="AQ28" s="419"/>
      <c r="AR28" s="419"/>
      <c r="AS28" s="419"/>
      <c r="AT28" s="42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395"/>
      <c r="C29" s="395"/>
      <c r="D29" s="396"/>
      <c r="E29" s="391"/>
      <c r="F29" s="392"/>
      <c r="G29" s="392"/>
      <c r="H29" s="392"/>
      <c r="I29" s="393"/>
      <c r="J29" s="357"/>
      <c r="K29" s="358"/>
      <c r="L29" s="358"/>
      <c r="M29" s="358"/>
      <c r="N29" s="358"/>
      <c r="O29" s="359"/>
      <c r="P29" s="360"/>
      <c r="Q29" s="361"/>
      <c r="R29" s="361"/>
      <c r="S29" s="361"/>
      <c r="T29" s="361"/>
      <c r="U29" s="362"/>
      <c r="V29" s="360"/>
      <c r="W29" s="361"/>
      <c r="X29" s="361"/>
      <c r="Y29" s="361"/>
      <c r="Z29" s="361"/>
      <c r="AA29" s="362"/>
      <c r="AB29" s="378"/>
      <c r="AC29" s="379"/>
      <c r="AD29" s="379"/>
      <c r="AE29" s="379"/>
      <c r="AF29" s="379"/>
      <c r="AG29" s="380"/>
      <c r="AH29" s="369"/>
      <c r="AI29" s="370"/>
      <c r="AJ29" s="370"/>
      <c r="AK29" s="370"/>
      <c r="AL29" s="370"/>
      <c r="AM29" s="371"/>
      <c r="AN29" s="83"/>
      <c r="AO29" s="421"/>
      <c r="AP29" s="422"/>
      <c r="AQ29" s="422"/>
      <c r="AR29" s="422"/>
      <c r="AS29" s="422"/>
      <c r="AT29" s="42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395"/>
      <c r="C30" s="395"/>
      <c r="D30" s="396"/>
      <c r="E30" s="385" t="s">
        <v>98</v>
      </c>
      <c r="F30" s="386"/>
      <c r="G30" s="386"/>
      <c r="H30" s="386"/>
      <c r="I30" s="386"/>
      <c r="J30" s="354" t="str">
        <f>IF(AND('Mapa final'!$H$24="Baja",'Mapa final'!$L$24="Leve"),CONCATENATE("R",'Mapa final'!$A$24),"")</f>
        <v/>
      </c>
      <c r="K30" s="355"/>
      <c r="L30" s="355" t="str">
        <f>IF(AND('Mapa final'!$H$26="Baja",'Mapa final'!$L$26="Leve"),CONCATENATE("R",'Mapa final'!$A$26),"")</f>
        <v/>
      </c>
      <c r="M30" s="355"/>
      <c r="N30" s="355" t="str">
        <f>IF(AND('Mapa final'!$H$27="Baja",'Mapa final'!$L$27="Leve"),CONCATENATE("R",'Mapa final'!$A$27),"")</f>
        <v/>
      </c>
      <c r="O30" s="356"/>
      <c r="P30" s="364" t="str">
        <f>IF(AND('Mapa final'!$H$24="Baja",'Mapa final'!$L$24="Menor"),CONCATENATE("R",'Mapa final'!$A$24),"")</f>
        <v/>
      </c>
      <c r="Q30" s="364"/>
      <c r="R30" s="364" t="str">
        <f>IF(AND('Mapa final'!$H$26="Baja",'Mapa final'!$L$26="Menor"),CONCATENATE("R",'Mapa final'!$A$26),"")</f>
        <v/>
      </c>
      <c r="S30" s="364"/>
      <c r="T30" s="364" t="str">
        <f>IF(AND('Mapa final'!$H$27="Baja",'Mapa final'!$L$27="Menor"),CONCATENATE("R",'Mapa final'!$A$27),"")</f>
        <v/>
      </c>
      <c r="U30" s="365"/>
      <c r="V30" s="363" t="str">
        <f>IF(AND('Mapa final'!$H$24="Baja",'Mapa final'!$L$24="Moderado"),CONCATENATE("R",'Mapa final'!$A$24),"")</f>
        <v/>
      </c>
      <c r="W30" s="364"/>
      <c r="X30" s="364" t="str">
        <f>IF(AND('Mapa final'!$H$26="Baja",'Mapa final'!$L$26="Moderado"),CONCATENATE("R",'Mapa final'!$A$26),"")</f>
        <v/>
      </c>
      <c r="Y30" s="364"/>
      <c r="Z30" s="364" t="str">
        <f>IF(AND('Mapa final'!$H$27="Baja",'Mapa final'!$L$27="Moderado"),CONCATENATE("R",'Mapa final'!$A$27),"")</f>
        <v/>
      </c>
      <c r="AA30" s="365"/>
      <c r="AB30" s="381" t="str">
        <f>IF(AND('Mapa final'!$H$24="Baja",'Mapa final'!$L$24="Mayor"),CONCATENATE("R",'Mapa final'!$A$24),"")</f>
        <v/>
      </c>
      <c r="AC30" s="382"/>
      <c r="AD30" s="382" t="str">
        <f>IF(AND('Mapa final'!$H$26="Baja",'Mapa final'!$L$26="Mayor"),CONCATENATE("R",'Mapa final'!$A$26),"")</f>
        <v/>
      </c>
      <c r="AE30" s="382"/>
      <c r="AF30" s="382" t="str">
        <f>IF(AND('Mapa final'!$H$27="Baja",'Mapa final'!$L$27="Mayor"),CONCATENATE("R",'Mapa final'!$A$27),"")</f>
        <v/>
      </c>
      <c r="AG30" s="383"/>
      <c r="AH30" s="372" t="str">
        <f>IF(AND('Mapa final'!$H$24="Baja",'Mapa final'!$L$24="Catastrófico"),CONCATENATE("R",'Mapa final'!$A$24),"")</f>
        <v/>
      </c>
      <c r="AI30" s="373"/>
      <c r="AJ30" s="373" t="str">
        <f>IF(AND('Mapa final'!$H$26="Baja",'Mapa final'!$L$26="Catastrófico"),CONCATENATE("R",'Mapa final'!$A$26),"")</f>
        <v/>
      </c>
      <c r="AK30" s="373"/>
      <c r="AL30" s="373" t="str">
        <f>IF(AND('Mapa final'!$H$27="Baja",'Mapa final'!$L$27="Catastrófico"),CONCATENATE("R",'Mapa final'!$A$27),"")</f>
        <v/>
      </c>
      <c r="AM30" s="374"/>
      <c r="AN30" s="83"/>
      <c r="AO30" s="424" t="s">
        <v>99</v>
      </c>
      <c r="AP30" s="425"/>
      <c r="AQ30" s="425"/>
      <c r="AR30" s="425"/>
      <c r="AS30" s="425"/>
      <c r="AT30" s="42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395"/>
      <c r="C31" s="395"/>
      <c r="D31" s="396"/>
      <c r="E31" s="388"/>
      <c r="F31" s="389"/>
      <c r="G31" s="389"/>
      <c r="H31" s="389"/>
      <c r="I31" s="389"/>
      <c r="J31" s="348"/>
      <c r="K31" s="349"/>
      <c r="L31" s="349"/>
      <c r="M31" s="349"/>
      <c r="N31" s="349"/>
      <c r="O31" s="350"/>
      <c r="P31" s="358"/>
      <c r="Q31" s="358"/>
      <c r="R31" s="358"/>
      <c r="S31" s="358"/>
      <c r="T31" s="358"/>
      <c r="U31" s="359"/>
      <c r="V31" s="357"/>
      <c r="W31" s="358"/>
      <c r="X31" s="358"/>
      <c r="Y31" s="358"/>
      <c r="Z31" s="358"/>
      <c r="AA31" s="359"/>
      <c r="AB31" s="375"/>
      <c r="AC31" s="376"/>
      <c r="AD31" s="376"/>
      <c r="AE31" s="376"/>
      <c r="AF31" s="376"/>
      <c r="AG31" s="377"/>
      <c r="AH31" s="366"/>
      <c r="AI31" s="367"/>
      <c r="AJ31" s="367"/>
      <c r="AK31" s="367"/>
      <c r="AL31" s="367"/>
      <c r="AM31" s="368"/>
      <c r="AN31" s="83"/>
      <c r="AO31" s="427"/>
      <c r="AP31" s="428"/>
      <c r="AQ31" s="428"/>
      <c r="AR31" s="428"/>
      <c r="AS31" s="428"/>
      <c r="AT31" s="42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395"/>
      <c r="C32" s="395"/>
      <c r="D32" s="396"/>
      <c r="E32" s="388"/>
      <c r="F32" s="389"/>
      <c r="G32" s="389"/>
      <c r="H32" s="389"/>
      <c r="I32" s="389"/>
      <c r="J32" s="348" t="str">
        <f>IF(AND('Mapa final'!$H$30="Baja",'Mapa final'!$L$30="Leve"),CONCATENATE("R",'Mapa final'!$A$30),"")</f>
        <v/>
      </c>
      <c r="K32" s="349"/>
      <c r="L32" s="349" t="str">
        <f>IF(AND('Mapa final'!$H$36="Baja",'Mapa final'!$L$36="Leve"),CONCATENATE("R",'Mapa final'!$A$36),"")</f>
        <v/>
      </c>
      <c r="M32" s="349"/>
      <c r="N32" s="349" t="str">
        <f>IF(AND('Mapa final'!$H$42="Baja",'Mapa final'!$L$42="Leve"),CONCATENATE("R",'Mapa final'!$A$42),"")</f>
        <v/>
      </c>
      <c r="O32" s="350"/>
      <c r="P32" s="358" t="str">
        <f>IF(AND('Mapa final'!$H$30="Baja",'Mapa final'!$L$30="Menor"),CONCATENATE("R",'Mapa final'!$A$30),"")</f>
        <v/>
      </c>
      <c r="Q32" s="358"/>
      <c r="R32" s="358" t="str">
        <f>IF(AND('Mapa final'!$H$36="Baja",'Mapa final'!$L$36="Menor"),CONCATENATE("R",'Mapa final'!$A$36),"")</f>
        <v/>
      </c>
      <c r="S32" s="358"/>
      <c r="T32" s="358" t="str">
        <f>IF(AND('Mapa final'!$H$42="Baja",'Mapa final'!$L$42="Menor"),CONCATENATE("R",'Mapa final'!$A$42),"")</f>
        <v/>
      </c>
      <c r="U32" s="359"/>
      <c r="V32" s="357" t="str">
        <f>IF(AND('Mapa final'!$H$30="Baja",'Mapa final'!$L$30="Moderado"),CONCATENATE("R",'Mapa final'!$A$30),"")</f>
        <v/>
      </c>
      <c r="W32" s="358"/>
      <c r="X32" s="358" t="str">
        <f>IF(AND('Mapa final'!$H$36="Baja",'Mapa final'!$L$36="Moderado"),CONCATENATE("R",'Mapa final'!$A$36),"")</f>
        <v/>
      </c>
      <c r="Y32" s="358"/>
      <c r="Z32" s="358" t="str">
        <f>IF(AND('Mapa final'!$H$42="Baja",'Mapa final'!$L$42="Moderado"),CONCATENATE("R",'Mapa final'!$A$42),"")</f>
        <v/>
      </c>
      <c r="AA32" s="359"/>
      <c r="AB32" s="375" t="str">
        <f>IF(AND('Mapa final'!$H$30="Baja",'Mapa final'!$L$30="Mayor"),CONCATENATE("R",'Mapa final'!$A$30),"")</f>
        <v/>
      </c>
      <c r="AC32" s="376"/>
      <c r="AD32" s="376" t="str">
        <f>IF(AND('Mapa final'!$H$36="Baja",'Mapa final'!$L$36="Mayor"),CONCATENATE("R",'Mapa final'!$A$36),"")</f>
        <v/>
      </c>
      <c r="AE32" s="376"/>
      <c r="AF32" s="376" t="str">
        <f>IF(AND('Mapa final'!$H$42="Baja",'Mapa final'!$L$42="Mayor"),CONCATENATE("R",'Mapa final'!$A$42),"")</f>
        <v/>
      </c>
      <c r="AG32" s="377"/>
      <c r="AH32" s="366" t="str">
        <f>IF(AND('Mapa final'!$H$30="Baja",'Mapa final'!$L$30="Catastrófico"),CONCATENATE("R",'Mapa final'!$A$30),"")</f>
        <v/>
      </c>
      <c r="AI32" s="367"/>
      <c r="AJ32" s="367" t="str">
        <f>IF(AND('Mapa final'!$H$36="Baja",'Mapa final'!$L$36="Catastrófico"),CONCATENATE("R",'Mapa final'!$A$36),"")</f>
        <v/>
      </c>
      <c r="AK32" s="367"/>
      <c r="AL32" s="367" t="str">
        <f>IF(AND('Mapa final'!$H$42="Baja",'Mapa final'!$L$42="Catastrófico"),CONCATENATE("R",'Mapa final'!$A$42),"")</f>
        <v/>
      </c>
      <c r="AM32" s="368"/>
      <c r="AN32" s="83"/>
      <c r="AO32" s="427"/>
      <c r="AP32" s="428"/>
      <c r="AQ32" s="428"/>
      <c r="AR32" s="428"/>
      <c r="AS32" s="428"/>
      <c r="AT32" s="42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395"/>
      <c r="C33" s="395"/>
      <c r="D33" s="396"/>
      <c r="E33" s="388"/>
      <c r="F33" s="389"/>
      <c r="G33" s="389"/>
      <c r="H33" s="389"/>
      <c r="I33" s="389"/>
      <c r="J33" s="348"/>
      <c r="K33" s="349"/>
      <c r="L33" s="349"/>
      <c r="M33" s="349"/>
      <c r="N33" s="349"/>
      <c r="O33" s="350"/>
      <c r="P33" s="358"/>
      <c r="Q33" s="358"/>
      <c r="R33" s="358"/>
      <c r="S33" s="358"/>
      <c r="T33" s="358"/>
      <c r="U33" s="359"/>
      <c r="V33" s="357"/>
      <c r="W33" s="358"/>
      <c r="X33" s="358"/>
      <c r="Y33" s="358"/>
      <c r="Z33" s="358"/>
      <c r="AA33" s="359"/>
      <c r="AB33" s="375"/>
      <c r="AC33" s="376"/>
      <c r="AD33" s="376"/>
      <c r="AE33" s="376"/>
      <c r="AF33" s="376"/>
      <c r="AG33" s="377"/>
      <c r="AH33" s="366"/>
      <c r="AI33" s="367"/>
      <c r="AJ33" s="367"/>
      <c r="AK33" s="367"/>
      <c r="AL33" s="367"/>
      <c r="AM33" s="368"/>
      <c r="AN33" s="83"/>
      <c r="AO33" s="427"/>
      <c r="AP33" s="428"/>
      <c r="AQ33" s="428"/>
      <c r="AR33" s="428"/>
      <c r="AS33" s="428"/>
      <c r="AT33" s="42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395"/>
      <c r="C34" s="395"/>
      <c r="D34" s="396"/>
      <c r="E34" s="388"/>
      <c r="F34" s="389"/>
      <c r="G34" s="389"/>
      <c r="H34" s="389"/>
      <c r="I34" s="389"/>
      <c r="J34" s="348" t="str">
        <f>IF(AND('Mapa final'!$H$48="Baja",'Mapa final'!$L$48="Leve"),CONCATENATE("R",'Mapa final'!$A$48),"")</f>
        <v/>
      </c>
      <c r="K34" s="349"/>
      <c r="L34" s="349" t="str">
        <f>IF(AND('Mapa final'!$H$50="Baja",'Mapa final'!$L$50="Leve"),CONCATENATE("R",'Mapa final'!$A$50),"")</f>
        <v/>
      </c>
      <c r="M34" s="349"/>
      <c r="N34" s="349" t="str">
        <f>IF(AND('Mapa final'!$H$56="Baja",'Mapa final'!$L$56="Leve"),CONCATENATE("R",'Mapa final'!$A$56),"")</f>
        <v/>
      </c>
      <c r="O34" s="350"/>
      <c r="P34" s="358" t="str">
        <f>IF(AND('Mapa final'!$H$48="Baja",'Mapa final'!$L$48="Menor"),CONCATENATE("R",'Mapa final'!$A$48),"")</f>
        <v/>
      </c>
      <c r="Q34" s="358"/>
      <c r="R34" s="358" t="str">
        <f>IF(AND('Mapa final'!$H$50="Baja",'Mapa final'!$L$50="Menor"),CONCATENATE("R",'Mapa final'!$A$50),"")</f>
        <v/>
      </c>
      <c r="S34" s="358"/>
      <c r="T34" s="358" t="str">
        <f>IF(AND('Mapa final'!$H$56="Baja",'Mapa final'!$L$56="Menor"),CONCATENATE("R",'Mapa final'!$A$56),"")</f>
        <v/>
      </c>
      <c r="U34" s="359"/>
      <c r="V34" s="357" t="str">
        <f>IF(AND('Mapa final'!$H$48="Baja",'Mapa final'!$L$48="Moderado"),CONCATENATE("R",'Mapa final'!$A$48),"")</f>
        <v/>
      </c>
      <c r="W34" s="358"/>
      <c r="X34" s="358" t="str">
        <f>IF(AND('Mapa final'!$H$50="Baja",'Mapa final'!$L$50="Moderado"),CONCATENATE("R",'Mapa final'!$A$50),"")</f>
        <v/>
      </c>
      <c r="Y34" s="358"/>
      <c r="Z34" s="358" t="str">
        <f>IF(AND('Mapa final'!$H$56="Baja",'Mapa final'!$L$56="Moderado"),CONCATENATE("R",'Mapa final'!$A$56),"")</f>
        <v/>
      </c>
      <c r="AA34" s="359"/>
      <c r="AB34" s="375" t="str">
        <f>IF(AND('Mapa final'!$H$48="Baja",'Mapa final'!$L$48="Mayor"),CONCATENATE("R",'Mapa final'!$A$48),"")</f>
        <v/>
      </c>
      <c r="AC34" s="376"/>
      <c r="AD34" s="376" t="str">
        <f>IF(AND('Mapa final'!$H$50="Baja",'Mapa final'!$L$50="Mayor"),CONCATENATE("R",'Mapa final'!$A$50),"")</f>
        <v/>
      </c>
      <c r="AE34" s="376"/>
      <c r="AF34" s="376" t="str">
        <f>IF(AND('Mapa final'!$H$56="Baja",'Mapa final'!$L$56="Mayor"),CONCATENATE("R",'Mapa final'!$A$56),"")</f>
        <v/>
      </c>
      <c r="AG34" s="377"/>
      <c r="AH34" s="366" t="str">
        <f>IF(AND('Mapa final'!$H$48="Baja",'Mapa final'!$L$48="Catastrófico"),CONCATENATE("R",'Mapa final'!$A$48),"")</f>
        <v/>
      </c>
      <c r="AI34" s="367"/>
      <c r="AJ34" s="367" t="str">
        <f>IF(AND('Mapa final'!$H$50="Baja",'Mapa final'!$L$50="Catastrófico"),CONCATENATE("R",'Mapa final'!$A$50),"")</f>
        <v/>
      </c>
      <c r="AK34" s="367"/>
      <c r="AL34" s="367" t="str">
        <f>IF(AND('Mapa final'!$H$56="Baja",'Mapa final'!$L$56="Catastrófico"),CONCATENATE("R",'Mapa final'!$A$56),"")</f>
        <v/>
      </c>
      <c r="AM34" s="368"/>
      <c r="AN34" s="83"/>
      <c r="AO34" s="427"/>
      <c r="AP34" s="428"/>
      <c r="AQ34" s="428"/>
      <c r="AR34" s="428"/>
      <c r="AS34" s="428"/>
      <c r="AT34" s="42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395"/>
      <c r="C35" s="395"/>
      <c r="D35" s="396"/>
      <c r="E35" s="388"/>
      <c r="F35" s="389"/>
      <c r="G35" s="389"/>
      <c r="H35" s="389"/>
      <c r="I35" s="389"/>
      <c r="J35" s="348"/>
      <c r="K35" s="349"/>
      <c r="L35" s="349"/>
      <c r="M35" s="349"/>
      <c r="N35" s="349"/>
      <c r="O35" s="350"/>
      <c r="P35" s="358"/>
      <c r="Q35" s="358"/>
      <c r="R35" s="358"/>
      <c r="S35" s="358"/>
      <c r="T35" s="358"/>
      <c r="U35" s="359"/>
      <c r="V35" s="357"/>
      <c r="W35" s="358"/>
      <c r="X35" s="358"/>
      <c r="Y35" s="358"/>
      <c r="Z35" s="358"/>
      <c r="AA35" s="359"/>
      <c r="AB35" s="375"/>
      <c r="AC35" s="376"/>
      <c r="AD35" s="376"/>
      <c r="AE35" s="376"/>
      <c r="AF35" s="376"/>
      <c r="AG35" s="377"/>
      <c r="AH35" s="366"/>
      <c r="AI35" s="367"/>
      <c r="AJ35" s="367"/>
      <c r="AK35" s="367"/>
      <c r="AL35" s="367"/>
      <c r="AM35" s="368"/>
      <c r="AN35" s="83"/>
      <c r="AO35" s="427"/>
      <c r="AP35" s="428"/>
      <c r="AQ35" s="428"/>
      <c r="AR35" s="428"/>
      <c r="AS35" s="428"/>
      <c r="AT35" s="42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395"/>
      <c r="C36" s="395"/>
      <c r="D36" s="396"/>
      <c r="E36" s="388"/>
      <c r="F36" s="389"/>
      <c r="G36" s="389"/>
      <c r="H36" s="389"/>
      <c r="I36" s="389"/>
      <c r="J36" s="348" t="str">
        <f>IF(AND('Mapa final'!$H$62="Baja",'Mapa final'!$L$62="Leve"),CONCATENATE("R",'Mapa final'!$A$62),"")</f>
        <v/>
      </c>
      <c r="K36" s="349"/>
      <c r="L36" s="349" t="str">
        <f>IF(AND('Mapa final'!$H$68="Baja",'Mapa final'!$L$68="Leve"),CONCATENATE("R",'Mapa final'!$A$68),"")</f>
        <v/>
      </c>
      <c r="M36" s="349"/>
      <c r="N36" s="349" t="str">
        <f>IF(AND('Mapa final'!$H$74="Baja",'Mapa final'!$L$74="Leve"),CONCATENATE("R",'Mapa final'!$A$74),"")</f>
        <v/>
      </c>
      <c r="O36" s="350"/>
      <c r="P36" s="358" t="str">
        <f>IF(AND('Mapa final'!$H$62="Baja",'Mapa final'!$L$62="Menor"),CONCATENATE("R",'Mapa final'!$A$62),"")</f>
        <v/>
      </c>
      <c r="Q36" s="358"/>
      <c r="R36" s="358" t="str">
        <f>IF(AND('Mapa final'!$H$68="Baja",'Mapa final'!$L$68="Menor"),CONCATENATE("R",'Mapa final'!$A$68),"")</f>
        <v/>
      </c>
      <c r="S36" s="358"/>
      <c r="T36" s="358" t="str">
        <f>IF(AND('Mapa final'!$H$74="Baja",'Mapa final'!$L$74="Menor"),CONCATENATE("R",'Mapa final'!$A$74),"")</f>
        <v/>
      </c>
      <c r="U36" s="359"/>
      <c r="V36" s="357" t="str">
        <f>IF(AND('Mapa final'!$H$62="Baja",'Mapa final'!$L$62="Moderado"),CONCATENATE("R",'Mapa final'!$A$62),"")</f>
        <v/>
      </c>
      <c r="W36" s="358"/>
      <c r="X36" s="358" t="str">
        <f>IF(AND('Mapa final'!$H$68="Baja",'Mapa final'!$L$68="Moderado"),CONCATENATE("R",'Mapa final'!$A$68),"")</f>
        <v/>
      </c>
      <c r="Y36" s="358"/>
      <c r="Z36" s="358" t="str">
        <f>IF(AND('Mapa final'!$H$74="Baja",'Mapa final'!$L$74="Moderado"),CONCATENATE("R",'Mapa final'!$A$74),"")</f>
        <v/>
      </c>
      <c r="AA36" s="359"/>
      <c r="AB36" s="375" t="str">
        <f>IF(AND('Mapa final'!$H$62="Baja",'Mapa final'!$L$62="Mayor"),CONCATENATE("R",'Mapa final'!$A$62),"")</f>
        <v/>
      </c>
      <c r="AC36" s="376"/>
      <c r="AD36" s="376" t="str">
        <f>IF(AND('Mapa final'!$H$68="Baja",'Mapa final'!$L$68="Mayor"),CONCATENATE("R",'Mapa final'!$A$68),"")</f>
        <v/>
      </c>
      <c r="AE36" s="376"/>
      <c r="AF36" s="376" t="str">
        <f>IF(AND('Mapa final'!$H$74="Baja",'Mapa final'!$L$74="Mayor"),CONCATENATE("R",'Mapa final'!$A$74),"")</f>
        <v/>
      </c>
      <c r="AG36" s="377"/>
      <c r="AH36" s="366" t="str">
        <f>IF(AND('Mapa final'!$H$62="Baja",'Mapa final'!$L$62="Catastrófico"),CONCATENATE("R",'Mapa final'!$A$62),"")</f>
        <v/>
      </c>
      <c r="AI36" s="367"/>
      <c r="AJ36" s="367" t="str">
        <f>IF(AND('Mapa final'!$H$68="Baja",'Mapa final'!$L$68="Catastrófico"),CONCATENATE("R",'Mapa final'!$A$68),"")</f>
        <v/>
      </c>
      <c r="AK36" s="367"/>
      <c r="AL36" s="367" t="str">
        <f>IF(AND('Mapa final'!$H$74="Baja",'Mapa final'!$L$74="Catastrófico"),CONCATENATE("R",'Mapa final'!$A$74),"")</f>
        <v/>
      </c>
      <c r="AM36" s="368"/>
      <c r="AN36" s="83"/>
      <c r="AO36" s="427"/>
      <c r="AP36" s="428"/>
      <c r="AQ36" s="428"/>
      <c r="AR36" s="428"/>
      <c r="AS36" s="428"/>
      <c r="AT36" s="42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395"/>
      <c r="C37" s="395"/>
      <c r="D37" s="396"/>
      <c r="E37" s="391"/>
      <c r="F37" s="392"/>
      <c r="G37" s="392"/>
      <c r="H37" s="392"/>
      <c r="I37" s="392"/>
      <c r="J37" s="351"/>
      <c r="K37" s="352"/>
      <c r="L37" s="352"/>
      <c r="M37" s="352"/>
      <c r="N37" s="352"/>
      <c r="O37" s="353"/>
      <c r="P37" s="361"/>
      <c r="Q37" s="361"/>
      <c r="R37" s="361"/>
      <c r="S37" s="361"/>
      <c r="T37" s="361"/>
      <c r="U37" s="362"/>
      <c r="V37" s="360"/>
      <c r="W37" s="361"/>
      <c r="X37" s="361"/>
      <c r="Y37" s="361"/>
      <c r="Z37" s="361"/>
      <c r="AA37" s="362"/>
      <c r="AB37" s="378"/>
      <c r="AC37" s="379"/>
      <c r="AD37" s="379"/>
      <c r="AE37" s="379"/>
      <c r="AF37" s="379"/>
      <c r="AG37" s="380"/>
      <c r="AH37" s="369"/>
      <c r="AI37" s="370"/>
      <c r="AJ37" s="370"/>
      <c r="AK37" s="370"/>
      <c r="AL37" s="370"/>
      <c r="AM37" s="371"/>
      <c r="AN37" s="83"/>
      <c r="AO37" s="430"/>
      <c r="AP37" s="431"/>
      <c r="AQ37" s="431"/>
      <c r="AR37" s="431"/>
      <c r="AS37" s="431"/>
      <c r="AT37" s="43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395"/>
      <c r="C38" s="395"/>
      <c r="D38" s="396"/>
      <c r="E38" s="385" t="s">
        <v>100</v>
      </c>
      <c r="F38" s="386"/>
      <c r="G38" s="386"/>
      <c r="H38" s="386"/>
      <c r="I38" s="387"/>
      <c r="J38" s="354" t="str">
        <f>IF(AND('Mapa final'!$H$24="Muy Baja",'Mapa final'!$L$24="Leve"),CONCATENATE("R",'Mapa final'!$A$24),"")</f>
        <v/>
      </c>
      <c r="K38" s="355"/>
      <c r="L38" s="355" t="str">
        <f>IF(AND('Mapa final'!$H$26="Muy Baja",'Mapa final'!$L$26="Leve"),CONCATENATE("R",'Mapa final'!$A$26),"")</f>
        <v/>
      </c>
      <c r="M38" s="355"/>
      <c r="N38" s="355" t="str">
        <f>IF(AND('Mapa final'!$H$27="Muy Baja",'Mapa final'!$L$27="Leve"),CONCATENATE("R",'Mapa final'!$A$27),"")</f>
        <v/>
      </c>
      <c r="O38" s="356"/>
      <c r="P38" s="354" t="str">
        <f>IF(AND('Mapa final'!$H$24="Muy Baja",'Mapa final'!$L$24="Menor"),CONCATENATE("R",'Mapa final'!$A$24),"")</f>
        <v/>
      </c>
      <c r="Q38" s="355"/>
      <c r="R38" s="355" t="str">
        <f>IF(AND('Mapa final'!$H$26="Muy Baja",'Mapa final'!$L$26="Menor"),CONCATENATE("R",'Mapa final'!$A$26),"")</f>
        <v/>
      </c>
      <c r="S38" s="355"/>
      <c r="T38" s="355" t="str">
        <f>IF(AND('Mapa final'!$H$27="Muy Baja",'Mapa final'!$L$27="Menor"),CONCATENATE("R",'Mapa final'!$A$27),"")</f>
        <v/>
      </c>
      <c r="U38" s="356"/>
      <c r="V38" s="363" t="str">
        <f>IF(AND('Mapa final'!$H$24="Muy Baja",'Mapa final'!$L$24="Moderado"),CONCATENATE("R",'Mapa final'!$A$24),"")</f>
        <v/>
      </c>
      <c r="W38" s="364"/>
      <c r="X38" s="364" t="str">
        <f>IF(AND('Mapa final'!$H$26="Muy Baja",'Mapa final'!$L$26="Moderado"),CONCATENATE("R",'Mapa final'!$A$26),"")</f>
        <v/>
      </c>
      <c r="Y38" s="364"/>
      <c r="Z38" s="364" t="str">
        <f>IF(AND('Mapa final'!$H$27="Muy Baja",'Mapa final'!$L$27="Moderado"),CONCATENATE("R",'Mapa final'!$A$27),"")</f>
        <v/>
      </c>
      <c r="AA38" s="365"/>
      <c r="AB38" s="381" t="str">
        <f>IF(AND('Mapa final'!$H$24="Muy Baja",'Mapa final'!$L$24="Mayor"),CONCATENATE("R",'Mapa final'!$A$24),"")</f>
        <v/>
      </c>
      <c r="AC38" s="382"/>
      <c r="AD38" s="382" t="str">
        <f>IF(AND('Mapa final'!$H$26="Muy Baja",'Mapa final'!$L$26="Mayor"),CONCATENATE("R",'Mapa final'!$A$26),"")</f>
        <v/>
      </c>
      <c r="AE38" s="382"/>
      <c r="AF38" s="382" t="str">
        <f>IF(AND('Mapa final'!$H$27="Muy Baja",'Mapa final'!$L$27="Mayor"),CONCATENATE("R",'Mapa final'!$A$27),"")</f>
        <v/>
      </c>
      <c r="AG38" s="383"/>
      <c r="AH38" s="372" t="str">
        <f>IF(AND('Mapa final'!$H$24="Muy Baja",'Mapa final'!$L$24="Catastrófico"),CONCATENATE("R",'Mapa final'!$A$24),"")</f>
        <v/>
      </c>
      <c r="AI38" s="373"/>
      <c r="AJ38" s="373" t="str">
        <f>IF(AND('Mapa final'!$H$26="Muy Baja",'Mapa final'!$L$26="Catastrófico"),CONCATENATE("R",'Mapa final'!$A$26),"")</f>
        <v/>
      </c>
      <c r="AK38" s="373"/>
      <c r="AL38" s="373" t="str">
        <f>IF(AND('Mapa final'!$H$27="Muy Baja",'Mapa final'!$L$27="Catastrófico"),CONCATENATE("R",'Mapa final'!$A$27),"")</f>
        <v/>
      </c>
      <c r="AM38" s="374"/>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395"/>
      <c r="C39" s="395"/>
      <c r="D39" s="396"/>
      <c r="E39" s="388"/>
      <c r="F39" s="389"/>
      <c r="G39" s="389"/>
      <c r="H39" s="389"/>
      <c r="I39" s="390"/>
      <c r="J39" s="348"/>
      <c r="K39" s="349"/>
      <c r="L39" s="349"/>
      <c r="M39" s="349"/>
      <c r="N39" s="349"/>
      <c r="O39" s="350"/>
      <c r="P39" s="348"/>
      <c r="Q39" s="349"/>
      <c r="R39" s="349"/>
      <c r="S39" s="349"/>
      <c r="T39" s="349"/>
      <c r="U39" s="350"/>
      <c r="V39" s="357"/>
      <c r="W39" s="358"/>
      <c r="X39" s="358"/>
      <c r="Y39" s="358"/>
      <c r="Z39" s="358"/>
      <c r="AA39" s="359"/>
      <c r="AB39" s="375"/>
      <c r="AC39" s="376"/>
      <c r="AD39" s="376"/>
      <c r="AE39" s="376"/>
      <c r="AF39" s="376"/>
      <c r="AG39" s="377"/>
      <c r="AH39" s="366"/>
      <c r="AI39" s="367"/>
      <c r="AJ39" s="367"/>
      <c r="AK39" s="367"/>
      <c r="AL39" s="367"/>
      <c r="AM39" s="368"/>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395"/>
      <c r="C40" s="395"/>
      <c r="D40" s="396"/>
      <c r="E40" s="388"/>
      <c r="F40" s="389"/>
      <c r="G40" s="389"/>
      <c r="H40" s="389"/>
      <c r="I40" s="390"/>
      <c r="J40" s="348" t="str">
        <f>IF(AND('Mapa final'!$H$30="Muy Baja",'Mapa final'!$L$30="Leve"),CONCATENATE("R",'Mapa final'!$A$30),"")</f>
        <v/>
      </c>
      <c r="K40" s="349"/>
      <c r="L40" s="349" t="str">
        <f>IF(AND('Mapa final'!$H$36="Muy Baja",'Mapa final'!$L$36="Leve"),CONCATENATE("R",'Mapa final'!$A$36),"")</f>
        <v/>
      </c>
      <c r="M40" s="349"/>
      <c r="N40" s="349" t="str">
        <f>IF(AND('Mapa final'!$H$42="Muy Baja",'Mapa final'!$L$42="Leve"),CONCATENATE("R",'Mapa final'!$A$42),"")</f>
        <v/>
      </c>
      <c r="O40" s="350"/>
      <c r="P40" s="348" t="str">
        <f>IF(AND('Mapa final'!$H$30="Muy Baja",'Mapa final'!$L$30="Menor"),CONCATENATE("R",'Mapa final'!$A$30),"")</f>
        <v/>
      </c>
      <c r="Q40" s="349"/>
      <c r="R40" s="349" t="str">
        <f>IF(AND('Mapa final'!$H$36="Muy Baja",'Mapa final'!$L$36="Menor"),CONCATENATE("R",'Mapa final'!$A$36),"")</f>
        <v/>
      </c>
      <c r="S40" s="349"/>
      <c r="T40" s="349" t="str">
        <f>IF(AND('Mapa final'!$H$42="Muy Baja",'Mapa final'!$L$42="Menor"),CONCATENATE("R",'Mapa final'!$A$42),"")</f>
        <v/>
      </c>
      <c r="U40" s="350"/>
      <c r="V40" s="357" t="str">
        <f>IF(AND('Mapa final'!$H$30="Muy Baja",'Mapa final'!$L$30="Moderado"),CONCATENATE("R",'Mapa final'!$A$30),"")</f>
        <v/>
      </c>
      <c r="W40" s="358"/>
      <c r="X40" s="358" t="str">
        <f>IF(AND('Mapa final'!$H$36="Muy Baja",'Mapa final'!$L$36="Moderado"),CONCATENATE("R",'Mapa final'!$A$36),"")</f>
        <v/>
      </c>
      <c r="Y40" s="358"/>
      <c r="Z40" s="358" t="str">
        <f>IF(AND('Mapa final'!$H$42="Muy Baja",'Mapa final'!$L$42="Moderado"),CONCATENATE("R",'Mapa final'!$A$42),"")</f>
        <v/>
      </c>
      <c r="AA40" s="359"/>
      <c r="AB40" s="375" t="str">
        <f>IF(AND('Mapa final'!$H$30="Muy Baja",'Mapa final'!$L$30="Mayor"),CONCATENATE("R",'Mapa final'!$A$30),"")</f>
        <v/>
      </c>
      <c r="AC40" s="376"/>
      <c r="AD40" s="376" t="str">
        <f>IF(AND('Mapa final'!$H$36="Muy Baja",'Mapa final'!$L$36="Mayor"),CONCATENATE("R",'Mapa final'!$A$36),"")</f>
        <v/>
      </c>
      <c r="AE40" s="376"/>
      <c r="AF40" s="376" t="str">
        <f>IF(AND('Mapa final'!$H$42="Muy Baja",'Mapa final'!$L$42="Mayor"),CONCATENATE("R",'Mapa final'!$A$42),"")</f>
        <v/>
      </c>
      <c r="AG40" s="377"/>
      <c r="AH40" s="366" t="str">
        <f>IF(AND('Mapa final'!$H$30="Muy Baja",'Mapa final'!$L$30="Catastrófico"),CONCATENATE("R",'Mapa final'!$A$30),"")</f>
        <v/>
      </c>
      <c r="AI40" s="367"/>
      <c r="AJ40" s="367" t="str">
        <f>IF(AND('Mapa final'!$H$36="Muy Baja",'Mapa final'!$L$36="Catastrófico"),CONCATENATE("R",'Mapa final'!$A$36),"")</f>
        <v/>
      </c>
      <c r="AK40" s="367"/>
      <c r="AL40" s="367" t="str">
        <f>IF(AND('Mapa final'!$H$42="Muy Baja",'Mapa final'!$L$42="Catastrófico"),CONCATENATE("R",'Mapa final'!$A$42),"")</f>
        <v/>
      </c>
      <c r="AM40" s="368"/>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395"/>
      <c r="C41" s="395"/>
      <c r="D41" s="396"/>
      <c r="E41" s="388"/>
      <c r="F41" s="389"/>
      <c r="G41" s="389"/>
      <c r="H41" s="389"/>
      <c r="I41" s="390"/>
      <c r="J41" s="348"/>
      <c r="K41" s="349"/>
      <c r="L41" s="349"/>
      <c r="M41" s="349"/>
      <c r="N41" s="349"/>
      <c r="O41" s="350"/>
      <c r="P41" s="348"/>
      <c r="Q41" s="349"/>
      <c r="R41" s="349"/>
      <c r="S41" s="349"/>
      <c r="T41" s="349"/>
      <c r="U41" s="350"/>
      <c r="V41" s="357"/>
      <c r="W41" s="358"/>
      <c r="X41" s="358"/>
      <c r="Y41" s="358"/>
      <c r="Z41" s="358"/>
      <c r="AA41" s="359"/>
      <c r="AB41" s="375"/>
      <c r="AC41" s="376"/>
      <c r="AD41" s="376"/>
      <c r="AE41" s="376"/>
      <c r="AF41" s="376"/>
      <c r="AG41" s="377"/>
      <c r="AH41" s="366"/>
      <c r="AI41" s="367"/>
      <c r="AJ41" s="367"/>
      <c r="AK41" s="367"/>
      <c r="AL41" s="367"/>
      <c r="AM41" s="368"/>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395"/>
      <c r="C42" s="395"/>
      <c r="D42" s="396"/>
      <c r="E42" s="388"/>
      <c r="F42" s="389"/>
      <c r="G42" s="389"/>
      <c r="H42" s="389"/>
      <c r="I42" s="390"/>
      <c r="J42" s="348" t="str">
        <f>IF(AND('Mapa final'!$H$48="Muy Baja",'Mapa final'!$L$48="Leve"),CONCATENATE("R",'Mapa final'!$A$48),"")</f>
        <v/>
      </c>
      <c r="K42" s="349"/>
      <c r="L42" s="349" t="str">
        <f>IF(AND('Mapa final'!$H$50="Muy Baja",'Mapa final'!$L$50="Leve"),CONCATENATE("R",'Mapa final'!$A$50),"")</f>
        <v/>
      </c>
      <c r="M42" s="349"/>
      <c r="N42" s="349" t="str">
        <f>IF(AND('Mapa final'!$H$56="Muy Baja",'Mapa final'!$L$56="Leve"),CONCATENATE("R",'Mapa final'!$A$56),"")</f>
        <v/>
      </c>
      <c r="O42" s="350"/>
      <c r="P42" s="348" t="str">
        <f>IF(AND('Mapa final'!$H$48="Muy Baja",'Mapa final'!$L$48="Menor"),CONCATENATE("R",'Mapa final'!$A$48),"")</f>
        <v/>
      </c>
      <c r="Q42" s="349"/>
      <c r="R42" s="349" t="str">
        <f>IF(AND('Mapa final'!$H$50="Muy Baja",'Mapa final'!$L$50="Menor"),CONCATENATE("R",'Mapa final'!$A$50),"")</f>
        <v/>
      </c>
      <c r="S42" s="349"/>
      <c r="T42" s="349" t="str">
        <f>IF(AND('Mapa final'!$H$56="Muy Baja",'Mapa final'!$L$56="Menor"),CONCATENATE("R",'Mapa final'!$A$56),"")</f>
        <v/>
      </c>
      <c r="U42" s="350"/>
      <c r="V42" s="357" t="str">
        <f>IF(AND('Mapa final'!$H$48="Muy Baja",'Mapa final'!$L$48="Moderado"),CONCATENATE("R",'Mapa final'!$A$48),"")</f>
        <v/>
      </c>
      <c r="W42" s="358"/>
      <c r="X42" s="358" t="str">
        <f>IF(AND('Mapa final'!$H$50="Muy Baja",'Mapa final'!$L$50="Moderado"),CONCATENATE("R",'Mapa final'!$A$50),"")</f>
        <v/>
      </c>
      <c r="Y42" s="358"/>
      <c r="Z42" s="358" t="str">
        <f>IF(AND('Mapa final'!$H$56="Muy Baja",'Mapa final'!$L$56="Moderado"),CONCATENATE("R",'Mapa final'!$A$56),"")</f>
        <v/>
      </c>
      <c r="AA42" s="359"/>
      <c r="AB42" s="375" t="str">
        <f>IF(AND('Mapa final'!$H$48="Muy Baja",'Mapa final'!$L$48="Mayor"),CONCATENATE("R",'Mapa final'!$A$48),"")</f>
        <v/>
      </c>
      <c r="AC42" s="376"/>
      <c r="AD42" s="376" t="str">
        <f>IF(AND('Mapa final'!$H$50="Muy Baja",'Mapa final'!$L$50="Mayor"),CONCATENATE("R",'Mapa final'!$A$50),"")</f>
        <v/>
      </c>
      <c r="AE42" s="376"/>
      <c r="AF42" s="376" t="str">
        <f>IF(AND('Mapa final'!$H$56="Muy Baja",'Mapa final'!$L$56="Mayor"),CONCATENATE("R",'Mapa final'!$A$56),"")</f>
        <v/>
      </c>
      <c r="AG42" s="377"/>
      <c r="AH42" s="366" t="str">
        <f>IF(AND('Mapa final'!$H$48="Muy Baja",'Mapa final'!$L$48="Catastrófico"),CONCATENATE("R",'Mapa final'!$A$48),"")</f>
        <v/>
      </c>
      <c r="AI42" s="367"/>
      <c r="AJ42" s="367" t="str">
        <f>IF(AND('Mapa final'!$H$50="Muy Baja",'Mapa final'!$L$50="Catastrófico"),CONCATENATE("R",'Mapa final'!$A$50),"")</f>
        <v/>
      </c>
      <c r="AK42" s="367"/>
      <c r="AL42" s="367" t="str">
        <f>IF(AND('Mapa final'!$H$56="Muy Baja",'Mapa final'!$L$56="Catastrófico"),CONCATENATE("R",'Mapa final'!$A$56),"")</f>
        <v/>
      </c>
      <c r="AM42" s="368"/>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395"/>
      <c r="C43" s="395"/>
      <c r="D43" s="396"/>
      <c r="E43" s="388"/>
      <c r="F43" s="389"/>
      <c r="G43" s="389"/>
      <c r="H43" s="389"/>
      <c r="I43" s="390"/>
      <c r="J43" s="348"/>
      <c r="K43" s="349"/>
      <c r="L43" s="349"/>
      <c r="M43" s="349"/>
      <c r="N43" s="349"/>
      <c r="O43" s="350"/>
      <c r="P43" s="348"/>
      <c r="Q43" s="349"/>
      <c r="R43" s="349"/>
      <c r="S43" s="349"/>
      <c r="T43" s="349"/>
      <c r="U43" s="350"/>
      <c r="V43" s="357"/>
      <c r="W43" s="358"/>
      <c r="X43" s="358"/>
      <c r="Y43" s="358"/>
      <c r="Z43" s="358"/>
      <c r="AA43" s="359"/>
      <c r="AB43" s="375"/>
      <c r="AC43" s="376"/>
      <c r="AD43" s="376"/>
      <c r="AE43" s="376"/>
      <c r="AF43" s="376"/>
      <c r="AG43" s="377"/>
      <c r="AH43" s="366"/>
      <c r="AI43" s="367"/>
      <c r="AJ43" s="367"/>
      <c r="AK43" s="367"/>
      <c r="AL43" s="367"/>
      <c r="AM43" s="368"/>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395"/>
      <c r="C44" s="395"/>
      <c r="D44" s="396"/>
      <c r="E44" s="388"/>
      <c r="F44" s="389"/>
      <c r="G44" s="389"/>
      <c r="H44" s="389"/>
      <c r="I44" s="390"/>
      <c r="J44" s="348" t="str">
        <f>IF(AND('Mapa final'!$H$62="Muy Baja",'Mapa final'!$L$62="Leve"),CONCATENATE("R",'Mapa final'!$A$62),"")</f>
        <v/>
      </c>
      <c r="K44" s="349"/>
      <c r="L44" s="349" t="str">
        <f>IF(AND('Mapa final'!$H$68="Muy Baja",'Mapa final'!$L$68="Leve"),CONCATENATE("R",'Mapa final'!$A$68),"")</f>
        <v/>
      </c>
      <c r="M44" s="349"/>
      <c r="N44" s="349" t="str">
        <f>IF(AND('Mapa final'!$H$74="Muy Baja",'Mapa final'!$L$74="Leve"),CONCATENATE("R",'Mapa final'!$A$74),"")</f>
        <v/>
      </c>
      <c r="O44" s="350"/>
      <c r="P44" s="348" t="str">
        <f>IF(AND('Mapa final'!$H$62="Muy Baja",'Mapa final'!$L$62="Menor"),CONCATENATE("R",'Mapa final'!$A$62),"")</f>
        <v/>
      </c>
      <c r="Q44" s="349"/>
      <c r="R44" s="349" t="str">
        <f>IF(AND('Mapa final'!$H$68="Muy Baja",'Mapa final'!$L$68="Menor"),CONCATENATE("R",'Mapa final'!$A$68),"")</f>
        <v/>
      </c>
      <c r="S44" s="349"/>
      <c r="T44" s="349" t="str">
        <f>IF(AND('Mapa final'!$H$74="Muy Baja",'Mapa final'!$L$74="Menor"),CONCATENATE("R",'Mapa final'!$A$74),"")</f>
        <v/>
      </c>
      <c r="U44" s="350"/>
      <c r="V44" s="357" t="str">
        <f>IF(AND('Mapa final'!$H$62="Muy Baja",'Mapa final'!$L$62="Moderado"),CONCATENATE("R",'Mapa final'!$A$62),"")</f>
        <v/>
      </c>
      <c r="W44" s="358"/>
      <c r="X44" s="358" t="str">
        <f>IF(AND('Mapa final'!$H$68="Muy Baja",'Mapa final'!$L$68="Moderado"),CONCATENATE("R",'Mapa final'!$A$68),"")</f>
        <v/>
      </c>
      <c r="Y44" s="358"/>
      <c r="Z44" s="358" t="str">
        <f>IF(AND('Mapa final'!$H$74="Muy Baja",'Mapa final'!$L$74="Moderado"),CONCATENATE("R",'Mapa final'!$A$74),"")</f>
        <v/>
      </c>
      <c r="AA44" s="359"/>
      <c r="AB44" s="375" t="str">
        <f>IF(AND('Mapa final'!$H$62="Muy Baja",'Mapa final'!$L$62="Mayor"),CONCATENATE("R",'Mapa final'!$A$62),"")</f>
        <v/>
      </c>
      <c r="AC44" s="376"/>
      <c r="AD44" s="376" t="str">
        <f>IF(AND('Mapa final'!$H$68="Muy Baja",'Mapa final'!$L$68="Mayor"),CONCATENATE("R",'Mapa final'!$A$68),"")</f>
        <v/>
      </c>
      <c r="AE44" s="376"/>
      <c r="AF44" s="376" t="str">
        <f>IF(AND('Mapa final'!$H$74="Muy Baja",'Mapa final'!$L$74="Mayor"),CONCATENATE("R",'Mapa final'!$A$74),"")</f>
        <v/>
      </c>
      <c r="AG44" s="377"/>
      <c r="AH44" s="366" t="str">
        <f>IF(AND('Mapa final'!$H$62="Muy Baja",'Mapa final'!$L$62="Catastrófico"),CONCATENATE("R",'Mapa final'!$A$62),"")</f>
        <v/>
      </c>
      <c r="AI44" s="367"/>
      <c r="AJ44" s="367" t="str">
        <f>IF(AND('Mapa final'!$H$68="Muy Baja",'Mapa final'!$L$68="Catastrófico"),CONCATENATE("R",'Mapa final'!$A$68),"")</f>
        <v/>
      </c>
      <c r="AK44" s="367"/>
      <c r="AL44" s="367" t="str">
        <f>IF(AND('Mapa final'!$H$74="Muy Baja",'Mapa final'!$L$74="Catastrófico"),CONCATENATE("R",'Mapa final'!$A$74),"")</f>
        <v/>
      </c>
      <c r="AM44" s="368"/>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395"/>
      <c r="C45" s="395"/>
      <c r="D45" s="396"/>
      <c r="E45" s="391"/>
      <c r="F45" s="392"/>
      <c r="G45" s="392"/>
      <c r="H45" s="392"/>
      <c r="I45" s="393"/>
      <c r="J45" s="351"/>
      <c r="K45" s="352"/>
      <c r="L45" s="352"/>
      <c r="M45" s="352"/>
      <c r="N45" s="352"/>
      <c r="O45" s="353"/>
      <c r="P45" s="351"/>
      <c r="Q45" s="352"/>
      <c r="R45" s="352"/>
      <c r="S45" s="352"/>
      <c r="T45" s="352"/>
      <c r="U45" s="353"/>
      <c r="V45" s="360"/>
      <c r="W45" s="361"/>
      <c r="X45" s="361"/>
      <c r="Y45" s="361"/>
      <c r="Z45" s="361"/>
      <c r="AA45" s="362"/>
      <c r="AB45" s="378"/>
      <c r="AC45" s="379"/>
      <c r="AD45" s="379"/>
      <c r="AE45" s="379"/>
      <c r="AF45" s="379"/>
      <c r="AG45" s="380"/>
      <c r="AH45" s="369"/>
      <c r="AI45" s="370"/>
      <c r="AJ45" s="370"/>
      <c r="AK45" s="370"/>
      <c r="AL45" s="370"/>
      <c r="AM45" s="371"/>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385" t="s">
        <v>101</v>
      </c>
      <c r="K46" s="386"/>
      <c r="L46" s="386"/>
      <c r="M46" s="386"/>
      <c r="N46" s="386"/>
      <c r="O46" s="387"/>
      <c r="P46" s="385" t="s">
        <v>102</v>
      </c>
      <c r="Q46" s="386"/>
      <c r="R46" s="386"/>
      <c r="S46" s="386"/>
      <c r="T46" s="386"/>
      <c r="U46" s="387"/>
      <c r="V46" s="385" t="s">
        <v>103</v>
      </c>
      <c r="W46" s="386"/>
      <c r="X46" s="386"/>
      <c r="Y46" s="386"/>
      <c r="Z46" s="386"/>
      <c r="AA46" s="387"/>
      <c r="AB46" s="385" t="s">
        <v>104</v>
      </c>
      <c r="AC46" s="394"/>
      <c r="AD46" s="386"/>
      <c r="AE46" s="386"/>
      <c r="AF46" s="386"/>
      <c r="AG46" s="387"/>
      <c r="AH46" s="385" t="s">
        <v>105</v>
      </c>
      <c r="AI46" s="386"/>
      <c r="AJ46" s="386"/>
      <c r="AK46" s="386"/>
      <c r="AL46" s="386"/>
      <c r="AM46" s="387"/>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388"/>
      <c r="K47" s="389"/>
      <c r="L47" s="389"/>
      <c r="M47" s="389"/>
      <c r="N47" s="389"/>
      <c r="O47" s="390"/>
      <c r="P47" s="388"/>
      <c r="Q47" s="389"/>
      <c r="R47" s="389"/>
      <c r="S47" s="389"/>
      <c r="T47" s="389"/>
      <c r="U47" s="390"/>
      <c r="V47" s="388"/>
      <c r="W47" s="389"/>
      <c r="X47" s="389"/>
      <c r="Y47" s="389"/>
      <c r="Z47" s="389"/>
      <c r="AA47" s="390"/>
      <c r="AB47" s="388"/>
      <c r="AC47" s="389"/>
      <c r="AD47" s="389"/>
      <c r="AE47" s="389"/>
      <c r="AF47" s="389"/>
      <c r="AG47" s="390"/>
      <c r="AH47" s="388"/>
      <c r="AI47" s="389"/>
      <c r="AJ47" s="389"/>
      <c r="AK47" s="389"/>
      <c r="AL47" s="389"/>
      <c r="AM47" s="390"/>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388"/>
      <c r="K48" s="389"/>
      <c r="L48" s="389"/>
      <c r="M48" s="389"/>
      <c r="N48" s="389"/>
      <c r="O48" s="390"/>
      <c r="P48" s="388"/>
      <c r="Q48" s="389"/>
      <c r="R48" s="389"/>
      <c r="S48" s="389"/>
      <c r="T48" s="389"/>
      <c r="U48" s="390"/>
      <c r="V48" s="388"/>
      <c r="W48" s="389"/>
      <c r="X48" s="389"/>
      <c r="Y48" s="389"/>
      <c r="Z48" s="389"/>
      <c r="AA48" s="390"/>
      <c r="AB48" s="388"/>
      <c r="AC48" s="389"/>
      <c r="AD48" s="389"/>
      <c r="AE48" s="389"/>
      <c r="AF48" s="389"/>
      <c r="AG48" s="390"/>
      <c r="AH48" s="388"/>
      <c r="AI48" s="389"/>
      <c r="AJ48" s="389"/>
      <c r="AK48" s="389"/>
      <c r="AL48" s="389"/>
      <c r="AM48" s="390"/>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388"/>
      <c r="K49" s="389"/>
      <c r="L49" s="389"/>
      <c r="M49" s="389"/>
      <c r="N49" s="389"/>
      <c r="O49" s="390"/>
      <c r="P49" s="388"/>
      <c r="Q49" s="389"/>
      <c r="R49" s="389"/>
      <c r="S49" s="389"/>
      <c r="T49" s="389"/>
      <c r="U49" s="390"/>
      <c r="V49" s="388"/>
      <c r="W49" s="389"/>
      <c r="X49" s="389"/>
      <c r="Y49" s="389"/>
      <c r="Z49" s="389"/>
      <c r="AA49" s="390"/>
      <c r="AB49" s="388"/>
      <c r="AC49" s="389"/>
      <c r="AD49" s="389"/>
      <c r="AE49" s="389"/>
      <c r="AF49" s="389"/>
      <c r="AG49" s="390"/>
      <c r="AH49" s="388"/>
      <c r="AI49" s="389"/>
      <c r="AJ49" s="389"/>
      <c r="AK49" s="389"/>
      <c r="AL49" s="389"/>
      <c r="AM49" s="390"/>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388"/>
      <c r="K50" s="389"/>
      <c r="L50" s="389"/>
      <c r="M50" s="389"/>
      <c r="N50" s="389"/>
      <c r="O50" s="390"/>
      <c r="P50" s="388"/>
      <c r="Q50" s="389"/>
      <c r="R50" s="389"/>
      <c r="S50" s="389"/>
      <c r="T50" s="389"/>
      <c r="U50" s="390"/>
      <c r="V50" s="388"/>
      <c r="W50" s="389"/>
      <c r="X50" s="389"/>
      <c r="Y50" s="389"/>
      <c r="Z50" s="389"/>
      <c r="AA50" s="390"/>
      <c r="AB50" s="388"/>
      <c r="AC50" s="389"/>
      <c r="AD50" s="389"/>
      <c r="AE50" s="389"/>
      <c r="AF50" s="389"/>
      <c r="AG50" s="390"/>
      <c r="AH50" s="388"/>
      <c r="AI50" s="389"/>
      <c r="AJ50" s="389"/>
      <c r="AK50" s="389"/>
      <c r="AL50" s="389"/>
      <c r="AM50" s="390"/>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391"/>
      <c r="K51" s="392"/>
      <c r="L51" s="392"/>
      <c r="M51" s="392"/>
      <c r="N51" s="392"/>
      <c r="O51" s="393"/>
      <c r="P51" s="391"/>
      <c r="Q51" s="392"/>
      <c r="R51" s="392"/>
      <c r="S51" s="392"/>
      <c r="T51" s="392"/>
      <c r="U51" s="393"/>
      <c r="V51" s="391"/>
      <c r="W51" s="392"/>
      <c r="X51" s="392"/>
      <c r="Y51" s="392"/>
      <c r="Z51" s="392"/>
      <c r="AA51" s="393"/>
      <c r="AB51" s="391"/>
      <c r="AC51" s="392"/>
      <c r="AD51" s="392"/>
      <c r="AE51" s="392"/>
      <c r="AF51" s="392"/>
      <c r="AG51" s="393"/>
      <c r="AH51" s="391"/>
      <c r="AI51" s="392"/>
      <c r="AJ51" s="392"/>
      <c r="AK51" s="392"/>
      <c r="AL51" s="392"/>
      <c r="AM51" s="39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462" t="s">
        <v>106</v>
      </c>
      <c r="C2" s="463"/>
      <c r="D2" s="463"/>
      <c r="E2" s="463"/>
      <c r="F2" s="463"/>
      <c r="G2" s="463"/>
      <c r="H2" s="463"/>
      <c r="I2" s="463"/>
      <c r="J2" s="384" t="s">
        <v>13</v>
      </c>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463"/>
      <c r="C3" s="463"/>
      <c r="D3" s="463"/>
      <c r="E3" s="463"/>
      <c r="F3" s="463"/>
      <c r="G3" s="463"/>
      <c r="H3" s="463"/>
      <c r="I3" s="463"/>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463"/>
      <c r="C4" s="463"/>
      <c r="D4" s="463"/>
      <c r="E4" s="463"/>
      <c r="F4" s="463"/>
      <c r="G4" s="463"/>
      <c r="H4" s="463"/>
      <c r="I4" s="463"/>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395" t="s">
        <v>91</v>
      </c>
      <c r="C6" s="395"/>
      <c r="D6" s="396"/>
      <c r="E6" s="433" t="s">
        <v>92</v>
      </c>
      <c r="F6" s="434"/>
      <c r="G6" s="434"/>
      <c r="H6" s="434"/>
      <c r="I6" s="435"/>
      <c r="J6" s="46" t="str">
        <f>IF(AND('Mapa final'!$Y$24="Muy Alta",'Mapa final'!$AA$24="Leve"),CONCATENATE("R1C",'Mapa final'!$O$24),"")</f>
        <v/>
      </c>
      <c r="K6" s="47" t="str">
        <f>IF(AND('Mapa final'!$Y$25="Muy Alta",'Mapa final'!$AA$25="Leve"),CONCATENATE("R1C",'Mapa final'!$O$25),"")</f>
        <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final'!$Y$24="Muy Alta",'Mapa final'!$AA$24="Menor"),CONCATENATE("R1C",'Mapa final'!$O$24),"")</f>
        <v/>
      </c>
      <c r="Q6" s="47" t="str">
        <f>IF(AND('Mapa final'!$Y$25="Muy Alta",'Mapa final'!$AA$25="Menor"),CONCATENATE("R1C",'Mapa final'!$O$25),"")</f>
        <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final'!$Y$24="Muy Alta",'Mapa final'!$AA$24="Moderado"),CONCATENATE("R1C",'Mapa final'!$O$24),"")</f>
        <v/>
      </c>
      <c r="W6" s="47" t="str">
        <f>IF(AND('Mapa final'!$Y$25="Muy Alta",'Mapa final'!$AA$25="Moderado"),CONCATENATE("R1C",'Mapa final'!$O$25),"")</f>
        <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final'!$Y$24="Muy Alta",'Mapa final'!$AA$24="Mayor"),CONCATENATE("R1C",'Mapa final'!$O$24),"")</f>
        <v/>
      </c>
      <c r="AC6" s="47" t="str">
        <f>IF(AND('Mapa final'!$Y$25="Muy Alta",'Mapa final'!$AA$25="Mayor"),CONCATENATE("R1C",'Mapa final'!$O$25),"")</f>
        <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final'!$Y$24="Muy Alta",'Mapa final'!$AA$24="Catastrófico"),CONCATENATE("R1C",'Mapa final'!$O$24),"")</f>
        <v/>
      </c>
      <c r="AI6" s="50" t="str">
        <f>IF(AND('Mapa final'!$Y$25="Muy Alta",'Mapa final'!$AA$25="Catastrófico"),CONCATENATE("R1C",'Mapa final'!$O$25),"")</f>
        <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3"/>
      <c r="AO6" s="453" t="s">
        <v>93</v>
      </c>
      <c r="AP6" s="454"/>
      <c r="AQ6" s="454"/>
      <c r="AR6" s="454"/>
      <c r="AS6" s="454"/>
      <c r="AT6" s="45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395"/>
      <c r="C7" s="395"/>
      <c r="D7" s="396"/>
      <c r="E7" s="436"/>
      <c r="F7" s="437"/>
      <c r="G7" s="437"/>
      <c r="H7" s="437"/>
      <c r="I7" s="438"/>
      <c r="J7" s="52" t="str">
        <f>IF(AND('Mapa final'!$Y$26="Muy Alta",'Mapa final'!$AA$26="Leve"),CONCATENATE("R2C",'Mapa final'!$O$26),"")</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final'!$Y$26="Muy Alta",'Mapa final'!$AA$26="Menor"),CONCATENATE("R2C",'Mapa final'!$O$26),"")</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final'!$Y$26="Muy Alta",'Mapa final'!$AA$26="Moderado"),CONCATENATE("R2C",'Mapa final'!$O$26),"")</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final'!$Y$26="Muy Alta",'Mapa final'!$AA$26="Mayor"),CONCATENATE("R2C",'Mapa final'!$O$26),"")</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final'!$Y$26="Muy Alta",'Mapa final'!$AA$26="Catastrófico"),CONCATENATE("R2C",'Mapa final'!$O$26),"")</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3"/>
      <c r="AO7" s="456"/>
      <c r="AP7" s="457"/>
      <c r="AQ7" s="457"/>
      <c r="AR7" s="457"/>
      <c r="AS7" s="457"/>
      <c r="AT7" s="45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395"/>
      <c r="C8" s="395"/>
      <c r="D8" s="396"/>
      <c r="E8" s="436"/>
      <c r="F8" s="437"/>
      <c r="G8" s="437"/>
      <c r="H8" s="437"/>
      <c r="I8" s="438"/>
      <c r="J8" s="52" t="str">
        <f>IF(AND('Mapa final'!$Y$27="Muy Alta",'Mapa final'!$AA$27="Leve"),CONCATENATE("R3C",'Mapa final'!$O$27),"")</f>
        <v/>
      </c>
      <c r="K8" s="53" t="str">
        <f>IF(AND('Mapa final'!$Y$28="Muy Alta",'Mapa final'!$AA$28="Leve"),CONCATENATE("R3C",'Mapa final'!$O$28),"")</f>
        <v/>
      </c>
      <c r="L8" s="53" t="str">
        <f>IF(AND('Mapa final'!$Y$29="Muy Alta",'Mapa final'!$AA$29="Leve"),CONCATENATE("R3C",'Mapa final'!$O$29),"")</f>
        <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final'!$Y$27="Muy Alta",'Mapa final'!$AA$27="Menor"),CONCATENATE("R3C",'Mapa final'!$O$27),"")</f>
        <v/>
      </c>
      <c r="Q8" s="53" t="str">
        <f>IF(AND('Mapa final'!$Y$28="Muy Alta",'Mapa final'!$AA$28="Menor"),CONCATENATE("R3C",'Mapa final'!$O$28),"")</f>
        <v/>
      </c>
      <c r="R8" s="53" t="str">
        <f>IF(AND('Mapa final'!$Y$29="Muy Alta",'Mapa final'!$AA$29="Menor"),CONCATENATE("R3C",'Mapa final'!$O$29),"")</f>
        <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final'!$Y$27="Muy Alta",'Mapa final'!$AA$27="Moderado"),CONCATENATE("R3C",'Mapa final'!$O$27),"")</f>
        <v/>
      </c>
      <c r="W8" s="53" t="str">
        <f>IF(AND('Mapa final'!$Y$28="Muy Alta",'Mapa final'!$AA$28="Moderado"),CONCATENATE("R3C",'Mapa final'!$O$28),"")</f>
        <v/>
      </c>
      <c r="X8" s="53" t="str">
        <f>IF(AND('Mapa final'!$Y$29="Muy Alta",'Mapa final'!$AA$29="Moderado"),CONCATENATE("R3C",'Mapa final'!$O$29),"")</f>
        <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final'!$Y$27="Muy Alta",'Mapa final'!$AA$27="Mayor"),CONCATENATE("R3C",'Mapa final'!$O$27),"")</f>
        <v/>
      </c>
      <c r="AC8" s="53" t="str">
        <f>IF(AND('Mapa final'!$Y$28="Muy Alta",'Mapa final'!$AA$28="Mayor"),CONCATENATE("R3C",'Mapa final'!$O$28),"")</f>
        <v/>
      </c>
      <c r="AD8" s="53" t="str">
        <f>IF(AND('Mapa final'!$Y$29="Muy Alta",'Mapa final'!$AA$29="Mayor"),CONCATENATE("R3C",'Mapa final'!$O$29),"")</f>
        <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final'!$Y$27="Muy Alta",'Mapa final'!$AA$27="Catastrófico"),CONCATENATE("R3C",'Mapa final'!$O$27),"")</f>
        <v/>
      </c>
      <c r="AI8" s="56" t="str">
        <f>IF(AND('Mapa final'!$Y$28="Muy Alta",'Mapa final'!$AA$28="Catastrófico"),CONCATENATE("R3C",'Mapa final'!$O$28),"")</f>
        <v/>
      </c>
      <c r="AJ8" s="56" t="str">
        <f>IF(AND('Mapa final'!$Y$29="Muy Alta",'Mapa final'!$AA$29="Catastrófico"),CONCATENATE("R3C",'Mapa final'!$O$29),"")</f>
        <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3"/>
      <c r="AO8" s="456"/>
      <c r="AP8" s="457"/>
      <c r="AQ8" s="457"/>
      <c r="AR8" s="457"/>
      <c r="AS8" s="457"/>
      <c r="AT8" s="45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395"/>
      <c r="C9" s="395"/>
      <c r="D9" s="396"/>
      <c r="E9" s="436"/>
      <c r="F9" s="437"/>
      <c r="G9" s="437"/>
      <c r="H9" s="437"/>
      <c r="I9" s="438"/>
      <c r="J9" s="52" t="str">
        <f>IF(AND('Mapa final'!$Y$30="Muy Alta",'Mapa final'!$AA$30="Leve"),CONCATENATE("R4C",'Mapa final'!$O$30),"")</f>
        <v/>
      </c>
      <c r="K9" s="53" t="str">
        <f>IF(AND('Mapa final'!$Y$31="Muy Alta",'Mapa final'!$AA$31="Leve"),CONCATENATE("R4C",'Mapa final'!$O$31),"")</f>
        <v/>
      </c>
      <c r="L9" s="53" t="str">
        <f>IF(AND('Mapa final'!$Y$32="Muy Alta",'Mapa final'!$AA$32="Leve"),CONCATENATE("R4C",'Mapa final'!$O$32),"")</f>
        <v/>
      </c>
      <c r="M9" s="53" t="str">
        <f>IF(AND('Mapa final'!$Y$33="Muy Alta",'Mapa final'!$AA$33="Leve"),CONCATENATE("R4C",'Mapa final'!$O$33),"")</f>
        <v/>
      </c>
      <c r="N9" s="53" t="str">
        <f>IF(AND('Mapa final'!$Y$34="Muy Alta",'Mapa final'!$AA$34="Leve"),CONCATENATE("R4C",'Mapa final'!$O$34),"")</f>
        <v/>
      </c>
      <c r="O9" s="54" t="str">
        <f>IF(AND('Mapa final'!$Y$35="Muy Alta",'Mapa final'!$AA$35="Leve"),CONCATENATE("R4C",'Mapa final'!$O$35),"")</f>
        <v/>
      </c>
      <c r="P9" s="52" t="str">
        <f>IF(AND('Mapa final'!$Y$30="Muy Alta",'Mapa final'!$AA$30="Menor"),CONCATENATE("R4C",'Mapa final'!$O$30),"")</f>
        <v/>
      </c>
      <c r="Q9" s="53" t="str">
        <f>IF(AND('Mapa final'!$Y$31="Muy Alta",'Mapa final'!$AA$31="Menor"),CONCATENATE("R4C",'Mapa final'!$O$31),"")</f>
        <v/>
      </c>
      <c r="R9" s="53" t="str">
        <f>IF(AND('Mapa final'!$Y$32="Muy Alta",'Mapa final'!$AA$32="Menor"),CONCATENATE("R4C",'Mapa final'!$O$32),"")</f>
        <v/>
      </c>
      <c r="S9" s="53" t="str">
        <f>IF(AND('Mapa final'!$Y$33="Muy Alta",'Mapa final'!$AA$33="Menor"),CONCATENATE("R4C",'Mapa final'!$O$33),"")</f>
        <v/>
      </c>
      <c r="T9" s="53" t="str">
        <f>IF(AND('Mapa final'!$Y$34="Muy Alta",'Mapa final'!$AA$34="Menor"),CONCATENATE("R4C",'Mapa final'!$O$34),"")</f>
        <v/>
      </c>
      <c r="U9" s="54" t="str">
        <f>IF(AND('Mapa final'!$Y$35="Muy Alta",'Mapa final'!$AA$35="Menor"),CONCATENATE("R4C",'Mapa final'!$O$35),"")</f>
        <v/>
      </c>
      <c r="V9" s="52" t="str">
        <f>IF(AND('Mapa final'!$Y$30="Muy Alta",'Mapa final'!$AA$30="Moderado"),CONCATENATE("R4C",'Mapa final'!$O$30),"")</f>
        <v/>
      </c>
      <c r="W9" s="53" t="str">
        <f>IF(AND('Mapa final'!$Y$31="Muy Alta",'Mapa final'!$AA$31="Moderado"),CONCATENATE("R4C",'Mapa final'!$O$31),"")</f>
        <v/>
      </c>
      <c r="X9" s="53" t="str">
        <f>IF(AND('Mapa final'!$Y$32="Muy Alta",'Mapa final'!$AA$32="Moderado"),CONCATENATE("R4C",'Mapa final'!$O$32),"")</f>
        <v/>
      </c>
      <c r="Y9" s="53" t="str">
        <f>IF(AND('Mapa final'!$Y$33="Muy Alta",'Mapa final'!$AA$33="Moderado"),CONCATENATE("R4C",'Mapa final'!$O$33),"")</f>
        <v/>
      </c>
      <c r="Z9" s="53" t="str">
        <f>IF(AND('Mapa final'!$Y$34="Muy Alta",'Mapa final'!$AA$34="Moderado"),CONCATENATE("R4C",'Mapa final'!$O$34),"")</f>
        <v/>
      </c>
      <c r="AA9" s="54" t="str">
        <f>IF(AND('Mapa final'!$Y$35="Muy Alta",'Mapa final'!$AA$35="Moderado"),CONCATENATE("R4C",'Mapa final'!$O$35),"")</f>
        <v/>
      </c>
      <c r="AB9" s="52" t="str">
        <f>IF(AND('Mapa final'!$Y$30="Muy Alta",'Mapa final'!$AA$30="Mayor"),CONCATENATE("R4C",'Mapa final'!$O$30),"")</f>
        <v/>
      </c>
      <c r="AC9" s="53" t="str">
        <f>IF(AND('Mapa final'!$Y$31="Muy Alta",'Mapa final'!$AA$31="Mayor"),CONCATENATE("R4C",'Mapa final'!$O$31),"")</f>
        <v/>
      </c>
      <c r="AD9" s="53" t="str">
        <f>IF(AND('Mapa final'!$Y$32="Muy Alta",'Mapa final'!$AA$32="Mayor"),CONCATENATE("R4C",'Mapa final'!$O$32),"")</f>
        <v/>
      </c>
      <c r="AE9" s="53" t="str">
        <f>IF(AND('Mapa final'!$Y$33="Muy Alta",'Mapa final'!$AA$33="Mayor"),CONCATENATE("R4C",'Mapa final'!$O$33),"")</f>
        <v/>
      </c>
      <c r="AF9" s="53" t="str">
        <f>IF(AND('Mapa final'!$Y$34="Muy Alta",'Mapa final'!$AA$34="Mayor"),CONCATENATE("R4C",'Mapa final'!$O$34),"")</f>
        <v/>
      </c>
      <c r="AG9" s="54" t="str">
        <f>IF(AND('Mapa final'!$Y$35="Muy Alta",'Mapa final'!$AA$35="Mayor"),CONCATENATE("R4C",'Mapa final'!$O$35),"")</f>
        <v/>
      </c>
      <c r="AH9" s="55" t="str">
        <f>IF(AND('Mapa final'!$Y$30="Muy Alta",'Mapa final'!$AA$30="Catastrófico"),CONCATENATE("R4C",'Mapa final'!$O$30),"")</f>
        <v/>
      </c>
      <c r="AI9" s="56" t="str">
        <f>IF(AND('Mapa final'!$Y$31="Muy Alta",'Mapa final'!$AA$31="Catastrófico"),CONCATENATE("R4C",'Mapa final'!$O$31),"")</f>
        <v/>
      </c>
      <c r="AJ9" s="56" t="str">
        <f>IF(AND('Mapa final'!$Y$32="Muy Alta",'Mapa final'!$AA$32="Catastrófico"),CONCATENATE("R4C",'Mapa final'!$O$32),"")</f>
        <v/>
      </c>
      <c r="AK9" s="56" t="str">
        <f>IF(AND('Mapa final'!$Y$33="Muy Alta",'Mapa final'!$AA$33="Catastrófico"),CONCATENATE("R4C",'Mapa final'!$O$33),"")</f>
        <v/>
      </c>
      <c r="AL9" s="56" t="str">
        <f>IF(AND('Mapa final'!$Y$34="Muy Alta",'Mapa final'!$AA$34="Catastrófico"),CONCATENATE("R4C",'Mapa final'!$O$34),"")</f>
        <v/>
      </c>
      <c r="AM9" s="57" t="str">
        <f>IF(AND('Mapa final'!$Y$35="Muy Alta",'Mapa final'!$AA$35="Catastrófico"),CONCATENATE("R4C",'Mapa final'!$O$35),"")</f>
        <v/>
      </c>
      <c r="AN9" s="83"/>
      <c r="AO9" s="456"/>
      <c r="AP9" s="457"/>
      <c r="AQ9" s="457"/>
      <c r="AR9" s="457"/>
      <c r="AS9" s="457"/>
      <c r="AT9" s="45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395"/>
      <c r="C10" s="395"/>
      <c r="D10" s="396"/>
      <c r="E10" s="436"/>
      <c r="F10" s="437"/>
      <c r="G10" s="437"/>
      <c r="H10" s="437"/>
      <c r="I10" s="438"/>
      <c r="J10" s="52" t="str">
        <f>IF(AND('Mapa final'!$Y$36="Muy Alta",'Mapa final'!$AA$36="Leve"),CONCATENATE("R5C",'Mapa final'!$O$36),"")</f>
        <v/>
      </c>
      <c r="K10" s="53" t="str">
        <f>IF(AND('Mapa final'!$Y$37="Muy Alta",'Mapa final'!$AA$37="Leve"),CONCATENATE("R5C",'Mapa final'!$O$37),"")</f>
        <v/>
      </c>
      <c r="L10" s="53" t="str">
        <f>IF(AND('Mapa final'!$Y$38="Muy Alta",'Mapa final'!$AA$38="Leve"),CONCATENATE("R5C",'Mapa final'!$O$38),"")</f>
        <v/>
      </c>
      <c r="M10" s="53" t="str">
        <f>IF(AND('Mapa final'!$Y$39="Muy Alta",'Mapa final'!$AA$39="Leve"),CONCATENATE("R5C",'Mapa final'!$O$39),"")</f>
        <v/>
      </c>
      <c r="N10" s="53" t="str">
        <f>IF(AND('Mapa final'!$Y$40="Muy Alta",'Mapa final'!$AA$40="Leve"),CONCATENATE("R5C",'Mapa final'!$O$40),"")</f>
        <v/>
      </c>
      <c r="O10" s="54" t="str">
        <f>IF(AND('Mapa final'!$Y$41="Muy Alta",'Mapa final'!$AA$41="Leve"),CONCATENATE("R5C",'Mapa final'!$O$41),"")</f>
        <v/>
      </c>
      <c r="P10" s="52" t="str">
        <f>IF(AND('Mapa final'!$Y$36="Muy Alta",'Mapa final'!$AA$36="Menor"),CONCATENATE("R5C",'Mapa final'!$O$36),"")</f>
        <v/>
      </c>
      <c r="Q10" s="53" t="str">
        <f>IF(AND('Mapa final'!$Y$37="Muy Alta",'Mapa final'!$AA$37="Menor"),CONCATENATE("R5C",'Mapa final'!$O$37),"")</f>
        <v/>
      </c>
      <c r="R10" s="53" t="str">
        <f>IF(AND('Mapa final'!$Y$38="Muy Alta",'Mapa final'!$AA$38="Menor"),CONCATENATE("R5C",'Mapa final'!$O$38),"")</f>
        <v/>
      </c>
      <c r="S10" s="53" t="str">
        <f>IF(AND('Mapa final'!$Y$39="Muy Alta",'Mapa final'!$AA$39="Menor"),CONCATENATE("R5C",'Mapa final'!$O$39),"")</f>
        <v/>
      </c>
      <c r="T10" s="53" t="str">
        <f>IF(AND('Mapa final'!$Y$40="Muy Alta",'Mapa final'!$AA$40="Menor"),CONCATENATE("R5C",'Mapa final'!$O$40),"")</f>
        <v/>
      </c>
      <c r="U10" s="54" t="str">
        <f>IF(AND('Mapa final'!$Y$41="Muy Alta",'Mapa final'!$AA$41="Menor"),CONCATENATE("R5C",'Mapa final'!$O$41),"")</f>
        <v/>
      </c>
      <c r="V10" s="52" t="str">
        <f>IF(AND('Mapa final'!$Y$36="Muy Alta",'Mapa final'!$AA$36="Moderado"),CONCATENATE("R5C",'Mapa final'!$O$36),"")</f>
        <v/>
      </c>
      <c r="W10" s="53" t="str">
        <f>IF(AND('Mapa final'!$Y$37="Muy Alta",'Mapa final'!$AA$37="Moderado"),CONCATENATE("R5C",'Mapa final'!$O$37),"")</f>
        <v/>
      </c>
      <c r="X10" s="53" t="str">
        <f>IF(AND('Mapa final'!$Y$38="Muy Alta",'Mapa final'!$AA$38="Moderado"),CONCATENATE("R5C",'Mapa final'!$O$38),"")</f>
        <v/>
      </c>
      <c r="Y10" s="53" t="str">
        <f>IF(AND('Mapa final'!$Y$39="Muy Alta",'Mapa final'!$AA$39="Moderado"),CONCATENATE("R5C",'Mapa final'!$O$39),"")</f>
        <v/>
      </c>
      <c r="Z10" s="53" t="str">
        <f>IF(AND('Mapa final'!$Y$40="Muy Alta",'Mapa final'!$AA$40="Moderado"),CONCATENATE("R5C",'Mapa final'!$O$40),"")</f>
        <v/>
      </c>
      <c r="AA10" s="54" t="str">
        <f>IF(AND('Mapa final'!$Y$41="Muy Alta",'Mapa final'!$AA$41="Moderado"),CONCATENATE("R5C",'Mapa final'!$O$41),"")</f>
        <v/>
      </c>
      <c r="AB10" s="52" t="str">
        <f>IF(AND('Mapa final'!$Y$36="Muy Alta",'Mapa final'!$AA$36="Mayor"),CONCATENATE("R5C",'Mapa final'!$O$36),"")</f>
        <v/>
      </c>
      <c r="AC10" s="53" t="str">
        <f>IF(AND('Mapa final'!$Y$37="Muy Alta",'Mapa final'!$AA$37="Mayor"),CONCATENATE("R5C",'Mapa final'!$O$37),"")</f>
        <v/>
      </c>
      <c r="AD10" s="53" t="str">
        <f>IF(AND('Mapa final'!$Y$38="Muy Alta",'Mapa final'!$AA$38="Mayor"),CONCATENATE("R5C",'Mapa final'!$O$38),"")</f>
        <v/>
      </c>
      <c r="AE10" s="53" t="str">
        <f>IF(AND('Mapa final'!$Y$39="Muy Alta",'Mapa final'!$AA$39="Mayor"),CONCATENATE("R5C",'Mapa final'!$O$39),"")</f>
        <v/>
      </c>
      <c r="AF10" s="53" t="str">
        <f>IF(AND('Mapa final'!$Y$40="Muy Alta",'Mapa final'!$AA$40="Mayor"),CONCATENATE("R5C",'Mapa final'!$O$40),"")</f>
        <v/>
      </c>
      <c r="AG10" s="54" t="str">
        <f>IF(AND('Mapa final'!$Y$41="Muy Alta",'Mapa final'!$AA$41="Mayor"),CONCATENATE("R5C",'Mapa final'!$O$41),"")</f>
        <v/>
      </c>
      <c r="AH10" s="55" t="str">
        <f>IF(AND('Mapa final'!$Y$36="Muy Alta",'Mapa final'!$AA$36="Catastrófico"),CONCATENATE("R5C",'Mapa final'!$O$36),"")</f>
        <v/>
      </c>
      <c r="AI10" s="56" t="str">
        <f>IF(AND('Mapa final'!$Y$37="Muy Alta",'Mapa final'!$AA$37="Catastrófico"),CONCATENATE("R5C",'Mapa final'!$O$37),"")</f>
        <v/>
      </c>
      <c r="AJ10" s="56" t="str">
        <f>IF(AND('Mapa final'!$Y$38="Muy Alta",'Mapa final'!$AA$38="Catastrófico"),CONCATENATE("R5C",'Mapa final'!$O$38),"")</f>
        <v/>
      </c>
      <c r="AK10" s="56" t="str">
        <f>IF(AND('Mapa final'!$Y$39="Muy Alta",'Mapa final'!$AA$39="Catastrófico"),CONCATENATE("R5C",'Mapa final'!$O$39),"")</f>
        <v/>
      </c>
      <c r="AL10" s="56" t="str">
        <f>IF(AND('Mapa final'!$Y$40="Muy Alta",'Mapa final'!$AA$40="Catastrófico"),CONCATENATE("R5C",'Mapa final'!$O$40),"")</f>
        <v/>
      </c>
      <c r="AM10" s="57" t="str">
        <f>IF(AND('Mapa final'!$Y$41="Muy Alta",'Mapa final'!$AA$41="Catastrófico"),CONCATENATE("R5C",'Mapa final'!$O$41),"")</f>
        <v/>
      </c>
      <c r="AN10" s="83"/>
      <c r="AO10" s="456"/>
      <c r="AP10" s="457"/>
      <c r="AQ10" s="457"/>
      <c r="AR10" s="457"/>
      <c r="AS10" s="457"/>
      <c r="AT10" s="45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395"/>
      <c r="C11" s="395"/>
      <c r="D11" s="396"/>
      <c r="E11" s="436"/>
      <c r="F11" s="437"/>
      <c r="G11" s="437"/>
      <c r="H11" s="437"/>
      <c r="I11" s="438"/>
      <c r="J11" s="52" t="str">
        <f>IF(AND('Mapa final'!$Y$42="Muy Alta",'Mapa final'!$AA$42="Leve"),CONCATENATE("R6C",'Mapa final'!$O$42),"")</f>
        <v/>
      </c>
      <c r="K11" s="53" t="str">
        <f>IF(AND('Mapa final'!$Y$43="Muy Alta",'Mapa final'!$AA$43="Leve"),CONCATENATE("R6C",'Mapa final'!$O$43),"")</f>
        <v/>
      </c>
      <c r="L11" s="53" t="str">
        <f>IF(AND('Mapa final'!$Y$44="Muy Alta",'Mapa final'!$AA$44="Leve"),CONCATENATE("R6C",'Mapa final'!$O$44),"")</f>
        <v/>
      </c>
      <c r="M11" s="53" t="str">
        <f>IF(AND('Mapa final'!$Y$45="Muy Alta",'Mapa final'!$AA$45="Leve"),CONCATENATE("R6C",'Mapa final'!$O$45),"")</f>
        <v/>
      </c>
      <c r="N11" s="53" t="str">
        <f>IF(AND('Mapa final'!$Y$46="Muy Alta",'Mapa final'!$AA$46="Leve"),CONCATENATE("R6C",'Mapa final'!$O$46),"")</f>
        <v/>
      </c>
      <c r="O11" s="54" t="str">
        <f>IF(AND('Mapa final'!$Y$47="Muy Alta",'Mapa final'!$AA$47="Leve"),CONCATENATE("R6C",'Mapa final'!$O$47),"")</f>
        <v/>
      </c>
      <c r="P11" s="52" t="str">
        <f>IF(AND('Mapa final'!$Y$42="Muy Alta",'Mapa final'!$AA$42="Menor"),CONCATENATE("R6C",'Mapa final'!$O$42),"")</f>
        <v/>
      </c>
      <c r="Q11" s="53" t="str">
        <f>IF(AND('Mapa final'!$Y$43="Muy Alta",'Mapa final'!$AA$43="Menor"),CONCATENATE("R6C",'Mapa final'!$O$43),"")</f>
        <v/>
      </c>
      <c r="R11" s="53" t="str">
        <f>IF(AND('Mapa final'!$Y$44="Muy Alta",'Mapa final'!$AA$44="Menor"),CONCATENATE("R6C",'Mapa final'!$O$44),"")</f>
        <v/>
      </c>
      <c r="S11" s="53" t="str">
        <f>IF(AND('Mapa final'!$Y$45="Muy Alta",'Mapa final'!$AA$45="Menor"),CONCATENATE("R6C",'Mapa final'!$O$45),"")</f>
        <v/>
      </c>
      <c r="T11" s="53" t="str">
        <f>IF(AND('Mapa final'!$Y$46="Muy Alta",'Mapa final'!$AA$46="Menor"),CONCATENATE("R6C",'Mapa final'!$O$46),"")</f>
        <v/>
      </c>
      <c r="U11" s="54" t="str">
        <f>IF(AND('Mapa final'!$Y$47="Muy Alta",'Mapa final'!$AA$47="Menor"),CONCATENATE("R6C",'Mapa final'!$O$47),"")</f>
        <v/>
      </c>
      <c r="V11" s="52" t="str">
        <f>IF(AND('Mapa final'!$Y$42="Muy Alta",'Mapa final'!$AA$42="Moderado"),CONCATENATE("R6C",'Mapa final'!$O$42),"")</f>
        <v/>
      </c>
      <c r="W11" s="53" t="str">
        <f>IF(AND('Mapa final'!$Y$43="Muy Alta",'Mapa final'!$AA$43="Moderado"),CONCATENATE("R6C",'Mapa final'!$O$43),"")</f>
        <v/>
      </c>
      <c r="X11" s="53" t="str">
        <f>IF(AND('Mapa final'!$Y$44="Muy Alta",'Mapa final'!$AA$44="Moderado"),CONCATENATE("R6C",'Mapa final'!$O$44),"")</f>
        <v/>
      </c>
      <c r="Y11" s="53" t="str">
        <f>IF(AND('Mapa final'!$Y$45="Muy Alta",'Mapa final'!$AA$45="Moderado"),CONCATENATE("R6C",'Mapa final'!$O$45),"")</f>
        <v/>
      </c>
      <c r="Z11" s="53" t="str">
        <f>IF(AND('Mapa final'!$Y$46="Muy Alta",'Mapa final'!$AA$46="Moderado"),CONCATENATE("R6C",'Mapa final'!$O$46),"")</f>
        <v/>
      </c>
      <c r="AA11" s="54" t="str">
        <f>IF(AND('Mapa final'!$Y$47="Muy Alta",'Mapa final'!$AA$47="Moderado"),CONCATENATE("R6C",'Mapa final'!$O$47),"")</f>
        <v/>
      </c>
      <c r="AB11" s="52" t="str">
        <f>IF(AND('Mapa final'!$Y$42="Muy Alta",'Mapa final'!$AA$42="Mayor"),CONCATENATE("R6C",'Mapa final'!$O$42),"")</f>
        <v/>
      </c>
      <c r="AC11" s="53" t="str">
        <f>IF(AND('Mapa final'!$Y$43="Muy Alta",'Mapa final'!$AA$43="Mayor"),CONCATENATE("R6C",'Mapa final'!$O$43),"")</f>
        <v/>
      </c>
      <c r="AD11" s="53" t="str">
        <f>IF(AND('Mapa final'!$Y$44="Muy Alta",'Mapa final'!$AA$44="Mayor"),CONCATENATE("R6C",'Mapa final'!$O$44),"")</f>
        <v/>
      </c>
      <c r="AE11" s="53" t="str">
        <f>IF(AND('Mapa final'!$Y$45="Muy Alta",'Mapa final'!$AA$45="Mayor"),CONCATENATE("R6C",'Mapa final'!$O$45),"")</f>
        <v/>
      </c>
      <c r="AF11" s="53" t="str">
        <f>IF(AND('Mapa final'!$Y$46="Muy Alta",'Mapa final'!$AA$46="Mayor"),CONCATENATE("R6C",'Mapa final'!$O$46),"")</f>
        <v/>
      </c>
      <c r="AG11" s="54" t="str">
        <f>IF(AND('Mapa final'!$Y$47="Muy Alta",'Mapa final'!$AA$47="Mayor"),CONCATENATE("R6C",'Mapa final'!$O$47),"")</f>
        <v/>
      </c>
      <c r="AH11" s="55" t="str">
        <f>IF(AND('Mapa final'!$Y$42="Muy Alta",'Mapa final'!$AA$42="Catastrófico"),CONCATENATE("R6C",'Mapa final'!$O$42),"")</f>
        <v/>
      </c>
      <c r="AI11" s="56" t="str">
        <f>IF(AND('Mapa final'!$Y$43="Muy Alta",'Mapa final'!$AA$43="Catastrófico"),CONCATENATE("R6C",'Mapa final'!$O$43),"")</f>
        <v/>
      </c>
      <c r="AJ11" s="56" t="str">
        <f>IF(AND('Mapa final'!$Y$44="Muy Alta",'Mapa final'!$AA$44="Catastrófico"),CONCATENATE("R6C",'Mapa final'!$O$44),"")</f>
        <v/>
      </c>
      <c r="AK11" s="56" t="str">
        <f>IF(AND('Mapa final'!$Y$45="Muy Alta",'Mapa final'!$AA$45="Catastrófico"),CONCATENATE("R6C",'Mapa final'!$O$45),"")</f>
        <v/>
      </c>
      <c r="AL11" s="56" t="str">
        <f>IF(AND('Mapa final'!$Y$46="Muy Alta",'Mapa final'!$AA$46="Catastrófico"),CONCATENATE("R6C",'Mapa final'!$O$46),"")</f>
        <v/>
      </c>
      <c r="AM11" s="57" t="str">
        <f>IF(AND('Mapa final'!$Y$47="Muy Alta",'Mapa final'!$AA$47="Catastrófico"),CONCATENATE("R6C",'Mapa final'!$O$47),"")</f>
        <v/>
      </c>
      <c r="AN11" s="83"/>
      <c r="AO11" s="456"/>
      <c r="AP11" s="457"/>
      <c r="AQ11" s="457"/>
      <c r="AR11" s="457"/>
      <c r="AS11" s="457"/>
      <c r="AT11" s="45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395"/>
      <c r="C12" s="395"/>
      <c r="D12" s="396"/>
      <c r="E12" s="436"/>
      <c r="F12" s="437"/>
      <c r="G12" s="437"/>
      <c r="H12" s="437"/>
      <c r="I12" s="438"/>
      <c r="J12" s="52" t="str">
        <f>IF(AND('Mapa final'!$Y$48="Muy Alta",'Mapa final'!$AA$48="Leve"),CONCATENATE("R7C",'Mapa final'!$O$48),"")</f>
        <v/>
      </c>
      <c r="K12" s="53" t="str">
        <f>IF(AND('Mapa final'!$Y$49="Muy Alta",'Mapa final'!$AA$49="Leve"),CONCATENATE("R7C",'Mapa final'!$O$49),"")</f>
        <v/>
      </c>
      <c r="L12" s="53" t="e">
        <f>IF(AND('Mapa final'!#REF!="Muy Alta",'Mapa final'!#REF!="Leve"),CONCATENATE("R7C",'Mapa final'!#REF!),"")</f>
        <v>#REF!</v>
      </c>
      <c r="M12" s="53" t="e">
        <f>IF(AND('Mapa final'!#REF!="Muy Alta",'Mapa final'!#REF!="Leve"),CONCATENATE("R7C",'Mapa final'!#REF!),"")</f>
        <v>#REF!</v>
      </c>
      <c r="N12" s="53" t="e">
        <f>IF(AND('Mapa final'!#REF!="Muy Alta",'Mapa final'!#REF!="Leve"),CONCATENATE("R7C",'Mapa final'!#REF!),"")</f>
        <v>#REF!</v>
      </c>
      <c r="O12" s="54" t="e">
        <f>IF(AND('Mapa final'!#REF!="Muy Alta",'Mapa final'!#REF!="Leve"),CONCATENATE("R7C",'Mapa final'!#REF!),"")</f>
        <v>#REF!</v>
      </c>
      <c r="P12" s="52" t="str">
        <f>IF(AND('Mapa final'!$Y$48="Muy Alta",'Mapa final'!$AA$48="Menor"),CONCATENATE("R7C",'Mapa final'!$O$48),"")</f>
        <v/>
      </c>
      <c r="Q12" s="53" t="str">
        <f>IF(AND('Mapa final'!$Y$49="Muy Alta",'Mapa final'!$AA$49="Menor"),CONCATENATE("R7C",'Mapa final'!$O$49),"")</f>
        <v/>
      </c>
      <c r="R12" s="53" t="e">
        <f>IF(AND('Mapa final'!#REF!="Muy Alta",'Mapa final'!#REF!="Menor"),CONCATENATE("R7C",'Mapa final'!#REF!),"")</f>
        <v>#REF!</v>
      </c>
      <c r="S12" s="53" t="e">
        <f>IF(AND('Mapa final'!#REF!="Muy Alta",'Mapa final'!#REF!="Menor"),CONCATENATE("R7C",'Mapa final'!#REF!),"")</f>
        <v>#REF!</v>
      </c>
      <c r="T12" s="53" t="e">
        <f>IF(AND('Mapa final'!#REF!="Muy Alta",'Mapa final'!#REF!="Menor"),CONCATENATE("R7C",'Mapa final'!#REF!),"")</f>
        <v>#REF!</v>
      </c>
      <c r="U12" s="54" t="e">
        <f>IF(AND('Mapa final'!#REF!="Muy Alta",'Mapa final'!#REF!="Menor"),CONCATENATE("R7C",'Mapa final'!#REF!),"")</f>
        <v>#REF!</v>
      </c>
      <c r="V12" s="52" t="str">
        <f>IF(AND('Mapa final'!$Y$48="Muy Alta",'Mapa final'!$AA$48="Moderado"),CONCATENATE("R7C",'Mapa final'!$O$48),"")</f>
        <v/>
      </c>
      <c r="W12" s="53" t="str">
        <f>IF(AND('Mapa final'!$Y$49="Muy Alta",'Mapa final'!$AA$49="Moderado"),CONCATENATE("R7C",'Mapa final'!$O$49),"")</f>
        <v/>
      </c>
      <c r="X12" s="53" t="e">
        <f>IF(AND('Mapa final'!#REF!="Muy Alta",'Mapa final'!#REF!="Moderado"),CONCATENATE("R7C",'Mapa final'!#REF!),"")</f>
        <v>#REF!</v>
      </c>
      <c r="Y12" s="53" t="e">
        <f>IF(AND('Mapa final'!#REF!="Muy Alta",'Mapa final'!#REF!="Moderado"),CONCATENATE("R7C",'Mapa final'!#REF!),"")</f>
        <v>#REF!</v>
      </c>
      <c r="Z12" s="53" t="e">
        <f>IF(AND('Mapa final'!#REF!="Muy Alta",'Mapa final'!#REF!="Moderado"),CONCATENATE("R7C",'Mapa final'!#REF!),"")</f>
        <v>#REF!</v>
      </c>
      <c r="AA12" s="54" t="e">
        <f>IF(AND('Mapa final'!#REF!="Muy Alta",'Mapa final'!#REF!="Moderado"),CONCATENATE("R7C",'Mapa final'!#REF!),"")</f>
        <v>#REF!</v>
      </c>
      <c r="AB12" s="52" t="str">
        <f>IF(AND('Mapa final'!$Y$48="Muy Alta",'Mapa final'!$AA$48="Mayor"),CONCATENATE("R7C",'Mapa final'!$O$48),"")</f>
        <v/>
      </c>
      <c r="AC12" s="53" t="str">
        <f>IF(AND('Mapa final'!$Y$49="Muy Alta",'Mapa final'!$AA$49="Mayor"),CONCATENATE("R7C",'Mapa final'!$O$49),"")</f>
        <v/>
      </c>
      <c r="AD12" s="53" t="e">
        <f>IF(AND('Mapa final'!#REF!="Muy Alta",'Mapa final'!#REF!="Mayor"),CONCATENATE("R7C",'Mapa final'!#REF!),"")</f>
        <v>#REF!</v>
      </c>
      <c r="AE12" s="53" t="e">
        <f>IF(AND('Mapa final'!#REF!="Muy Alta",'Mapa final'!#REF!="Mayor"),CONCATENATE("R7C",'Mapa final'!#REF!),"")</f>
        <v>#REF!</v>
      </c>
      <c r="AF12" s="53" t="e">
        <f>IF(AND('Mapa final'!#REF!="Muy Alta",'Mapa final'!#REF!="Mayor"),CONCATENATE("R7C",'Mapa final'!#REF!),"")</f>
        <v>#REF!</v>
      </c>
      <c r="AG12" s="54" t="e">
        <f>IF(AND('Mapa final'!#REF!="Muy Alta",'Mapa final'!#REF!="Mayor"),CONCATENATE("R7C",'Mapa final'!#REF!),"")</f>
        <v>#REF!</v>
      </c>
      <c r="AH12" s="55" t="str">
        <f>IF(AND('Mapa final'!$Y$48="Muy Alta",'Mapa final'!$AA$48="Catastrófico"),CONCATENATE("R7C",'Mapa final'!$O$48),"")</f>
        <v/>
      </c>
      <c r="AI12" s="56" t="str">
        <f>IF(AND('Mapa final'!$Y$49="Muy Alta",'Mapa final'!$AA$49="Catastrófico"),CONCATENATE("R7C",'Mapa final'!$O$49),"")</f>
        <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3"/>
      <c r="AO12" s="456"/>
      <c r="AP12" s="457"/>
      <c r="AQ12" s="457"/>
      <c r="AR12" s="457"/>
      <c r="AS12" s="457"/>
      <c r="AT12" s="45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395"/>
      <c r="C13" s="395"/>
      <c r="D13" s="396"/>
      <c r="E13" s="436"/>
      <c r="F13" s="437"/>
      <c r="G13" s="437"/>
      <c r="H13" s="437"/>
      <c r="I13" s="438"/>
      <c r="J13" s="52" t="str">
        <f>IF(AND('Mapa final'!$Y$50="Muy Alta",'Mapa final'!$AA$50="Leve"),CONCATENATE("R8C",'Mapa final'!$O$50),"")</f>
        <v/>
      </c>
      <c r="K13" s="53" t="str">
        <f>IF(AND('Mapa final'!$Y$51="Muy Alta",'Mapa final'!$AA$51="Leve"),CONCATENATE("R8C",'Mapa final'!$O$51),"")</f>
        <v/>
      </c>
      <c r="L13" s="53" t="str">
        <f>IF(AND('Mapa final'!$Y$52="Muy Alta",'Mapa final'!$AA$52="Leve"),CONCATENATE("R8C",'Mapa final'!$O$52),"")</f>
        <v/>
      </c>
      <c r="M13" s="53" t="str">
        <f>IF(AND('Mapa final'!$Y$53="Muy Alta",'Mapa final'!$AA$53="Leve"),CONCATENATE("R8C",'Mapa final'!$O$53),"")</f>
        <v/>
      </c>
      <c r="N13" s="53" t="str">
        <f>IF(AND('Mapa final'!$Y$54="Muy Alta",'Mapa final'!$AA$54="Leve"),CONCATENATE("R8C",'Mapa final'!$O$54),"")</f>
        <v/>
      </c>
      <c r="O13" s="54" t="str">
        <f>IF(AND('Mapa final'!$Y$55="Muy Alta",'Mapa final'!$AA$55="Leve"),CONCATENATE("R8C",'Mapa final'!$O$55),"")</f>
        <v/>
      </c>
      <c r="P13" s="52" t="str">
        <f>IF(AND('Mapa final'!$Y$50="Muy Alta",'Mapa final'!$AA$50="Menor"),CONCATENATE("R8C",'Mapa final'!$O$50),"")</f>
        <v/>
      </c>
      <c r="Q13" s="53" t="str">
        <f>IF(AND('Mapa final'!$Y$51="Muy Alta",'Mapa final'!$AA$51="Menor"),CONCATENATE("R8C",'Mapa final'!$O$51),"")</f>
        <v/>
      </c>
      <c r="R13" s="53" t="str">
        <f>IF(AND('Mapa final'!$Y$52="Muy Alta",'Mapa final'!$AA$52="Menor"),CONCATENATE("R8C",'Mapa final'!$O$52),"")</f>
        <v/>
      </c>
      <c r="S13" s="53" t="str">
        <f>IF(AND('Mapa final'!$Y$53="Muy Alta",'Mapa final'!$AA$53="Menor"),CONCATENATE("R8C",'Mapa final'!$O$53),"")</f>
        <v/>
      </c>
      <c r="T13" s="53" t="str">
        <f>IF(AND('Mapa final'!$Y$54="Muy Alta",'Mapa final'!$AA$54="Menor"),CONCATENATE("R8C",'Mapa final'!$O$54),"")</f>
        <v/>
      </c>
      <c r="U13" s="54" t="str">
        <f>IF(AND('Mapa final'!$Y$55="Muy Alta",'Mapa final'!$AA$55="Menor"),CONCATENATE("R8C",'Mapa final'!$O$55),"")</f>
        <v/>
      </c>
      <c r="V13" s="52" t="str">
        <f>IF(AND('Mapa final'!$Y$50="Muy Alta",'Mapa final'!$AA$50="Moderado"),CONCATENATE("R8C",'Mapa final'!$O$50),"")</f>
        <v/>
      </c>
      <c r="W13" s="53" t="str">
        <f>IF(AND('Mapa final'!$Y$51="Muy Alta",'Mapa final'!$AA$51="Moderado"),CONCATENATE("R8C",'Mapa final'!$O$51),"")</f>
        <v/>
      </c>
      <c r="X13" s="53" t="str">
        <f>IF(AND('Mapa final'!$Y$52="Muy Alta",'Mapa final'!$AA$52="Moderado"),CONCATENATE("R8C",'Mapa final'!$O$52),"")</f>
        <v/>
      </c>
      <c r="Y13" s="53" t="str">
        <f>IF(AND('Mapa final'!$Y$53="Muy Alta",'Mapa final'!$AA$53="Moderado"),CONCATENATE("R8C",'Mapa final'!$O$53),"")</f>
        <v/>
      </c>
      <c r="Z13" s="53" t="str">
        <f>IF(AND('Mapa final'!$Y$54="Muy Alta",'Mapa final'!$AA$54="Moderado"),CONCATENATE("R8C",'Mapa final'!$O$54),"")</f>
        <v/>
      </c>
      <c r="AA13" s="54" t="str">
        <f>IF(AND('Mapa final'!$Y$55="Muy Alta",'Mapa final'!$AA$55="Moderado"),CONCATENATE("R8C",'Mapa final'!$O$55),"")</f>
        <v/>
      </c>
      <c r="AB13" s="52" t="str">
        <f>IF(AND('Mapa final'!$Y$50="Muy Alta",'Mapa final'!$AA$50="Mayor"),CONCATENATE("R8C",'Mapa final'!$O$50),"")</f>
        <v/>
      </c>
      <c r="AC13" s="53" t="str">
        <f>IF(AND('Mapa final'!$Y$51="Muy Alta",'Mapa final'!$AA$51="Mayor"),CONCATENATE("R8C",'Mapa final'!$O$51),"")</f>
        <v/>
      </c>
      <c r="AD13" s="53" t="str">
        <f>IF(AND('Mapa final'!$Y$52="Muy Alta",'Mapa final'!$AA$52="Mayor"),CONCATENATE("R8C",'Mapa final'!$O$52),"")</f>
        <v/>
      </c>
      <c r="AE13" s="53" t="str">
        <f>IF(AND('Mapa final'!$Y$53="Muy Alta",'Mapa final'!$AA$53="Mayor"),CONCATENATE("R8C",'Mapa final'!$O$53),"")</f>
        <v/>
      </c>
      <c r="AF13" s="53" t="str">
        <f>IF(AND('Mapa final'!$Y$54="Muy Alta",'Mapa final'!$AA$54="Mayor"),CONCATENATE("R8C",'Mapa final'!$O$54),"")</f>
        <v/>
      </c>
      <c r="AG13" s="54" t="str">
        <f>IF(AND('Mapa final'!$Y$55="Muy Alta",'Mapa final'!$AA$55="Mayor"),CONCATENATE("R8C",'Mapa final'!$O$55),"")</f>
        <v/>
      </c>
      <c r="AH13" s="55" t="str">
        <f>IF(AND('Mapa final'!$Y$50="Muy Alta",'Mapa final'!$AA$50="Catastrófico"),CONCATENATE("R8C",'Mapa final'!$O$50),"")</f>
        <v/>
      </c>
      <c r="AI13" s="56" t="str">
        <f>IF(AND('Mapa final'!$Y$51="Muy Alta",'Mapa final'!$AA$51="Catastrófico"),CONCATENATE("R8C",'Mapa final'!$O$51),"")</f>
        <v/>
      </c>
      <c r="AJ13" s="56" t="str">
        <f>IF(AND('Mapa final'!$Y$52="Muy Alta",'Mapa final'!$AA$52="Catastrófico"),CONCATENATE("R8C",'Mapa final'!$O$52),"")</f>
        <v/>
      </c>
      <c r="AK13" s="56" t="str">
        <f>IF(AND('Mapa final'!$Y$53="Muy Alta",'Mapa final'!$AA$53="Catastrófico"),CONCATENATE("R8C",'Mapa final'!$O$53),"")</f>
        <v/>
      </c>
      <c r="AL13" s="56" t="str">
        <f>IF(AND('Mapa final'!$Y$54="Muy Alta",'Mapa final'!$AA$54="Catastrófico"),CONCATENATE("R8C",'Mapa final'!$O$54),"")</f>
        <v/>
      </c>
      <c r="AM13" s="57" t="str">
        <f>IF(AND('Mapa final'!$Y$55="Muy Alta",'Mapa final'!$AA$55="Catastrófico"),CONCATENATE("R8C",'Mapa final'!$O$55),"")</f>
        <v/>
      </c>
      <c r="AN13" s="83"/>
      <c r="AO13" s="456"/>
      <c r="AP13" s="457"/>
      <c r="AQ13" s="457"/>
      <c r="AR13" s="457"/>
      <c r="AS13" s="457"/>
      <c r="AT13" s="45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395"/>
      <c r="C14" s="395"/>
      <c r="D14" s="396"/>
      <c r="E14" s="436"/>
      <c r="F14" s="437"/>
      <c r="G14" s="437"/>
      <c r="H14" s="437"/>
      <c r="I14" s="438"/>
      <c r="J14" s="52" t="str">
        <f>IF(AND('Mapa final'!$Y$56="Muy Alta",'Mapa final'!$AA$56="Leve"),CONCATENATE("R9C",'Mapa final'!$O$56),"")</f>
        <v/>
      </c>
      <c r="K14" s="53" t="str">
        <f>IF(AND('Mapa final'!$Y$57="Muy Alta",'Mapa final'!$AA$57="Leve"),CONCATENATE("R9C",'Mapa final'!$O$57),"")</f>
        <v/>
      </c>
      <c r="L14" s="53" t="str">
        <f>IF(AND('Mapa final'!$Y$58="Muy Alta",'Mapa final'!$AA$58="Leve"),CONCATENATE("R9C",'Mapa final'!$O$58),"")</f>
        <v/>
      </c>
      <c r="M14" s="53" t="str">
        <f>IF(AND('Mapa final'!$Y$59="Muy Alta",'Mapa final'!$AA$59="Leve"),CONCATENATE("R9C",'Mapa final'!$O$59),"")</f>
        <v/>
      </c>
      <c r="N14" s="53" t="str">
        <f>IF(AND('Mapa final'!$Y$60="Muy Alta",'Mapa final'!$AA$60="Leve"),CONCATENATE("R9C",'Mapa final'!$O$60),"")</f>
        <v/>
      </c>
      <c r="O14" s="54" t="str">
        <f>IF(AND('Mapa final'!$Y$61="Muy Alta",'Mapa final'!$AA$61="Leve"),CONCATENATE("R9C",'Mapa final'!$O$61),"")</f>
        <v/>
      </c>
      <c r="P14" s="52" t="str">
        <f>IF(AND('Mapa final'!$Y$56="Muy Alta",'Mapa final'!$AA$56="Menor"),CONCATENATE("R9C",'Mapa final'!$O$56),"")</f>
        <v/>
      </c>
      <c r="Q14" s="53" t="str">
        <f>IF(AND('Mapa final'!$Y$57="Muy Alta",'Mapa final'!$AA$57="Menor"),CONCATENATE("R9C",'Mapa final'!$O$57),"")</f>
        <v/>
      </c>
      <c r="R14" s="53" t="str">
        <f>IF(AND('Mapa final'!$Y$58="Muy Alta",'Mapa final'!$AA$58="Menor"),CONCATENATE("R9C",'Mapa final'!$O$58),"")</f>
        <v/>
      </c>
      <c r="S14" s="53" t="str">
        <f>IF(AND('Mapa final'!$Y$59="Muy Alta",'Mapa final'!$AA$59="Menor"),CONCATENATE("R9C",'Mapa final'!$O$59),"")</f>
        <v/>
      </c>
      <c r="T14" s="53" t="str">
        <f>IF(AND('Mapa final'!$Y$60="Muy Alta",'Mapa final'!$AA$60="Menor"),CONCATENATE("R9C",'Mapa final'!$O$60),"")</f>
        <v/>
      </c>
      <c r="U14" s="54" t="str">
        <f>IF(AND('Mapa final'!$Y$61="Muy Alta",'Mapa final'!$AA$61="Menor"),CONCATENATE("R9C",'Mapa final'!$O$61),"")</f>
        <v/>
      </c>
      <c r="V14" s="52" t="str">
        <f>IF(AND('Mapa final'!$Y$56="Muy Alta",'Mapa final'!$AA$56="Moderado"),CONCATENATE("R9C",'Mapa final'!$O$56),"")</f>
        <v/>
      </c>
      <c r="W14" s="53" t="str">
        <f>IF(AND('Mapa final'!$Y$57="Muy Alta",'Mapa final'!$AA$57="Moderado"),CONCATENATE("R9C",'Mapa final'!$O$57),"")</f>
        <v/>
      </c>
      <c r="X14" s="53" t="str">
        <f>IF(AND('Mapa final'!$Y$58="Muy Alta",'Mapa final'!$AA$58="Moderado"),CONCATENATE("R9C",'Mapa final'!$O$58),"")</f>
        <v/>
      </c>
      <c r="Y14" s="53" t="str">
        <f>IF(AND('Mapa final'!$Y$59="Muy Alta",'Mapa final'!$AA$59="Moderado"),CONCATENATE("R9C",'Mapa final'!$O$59),"")</f>
        <v/>
      </c>
      <c r="Z14" s="53" t="str">
        <f>IF(AND('Mapa final'!$Y$60="Muy Alta",'Mapa final'!$AA$60="Moderado"),CONCATENATE("R9C",'Mapa final'!$O$60),"")</f>
        <v/>
      </c>
      <c r="AA14" s="54" t="str">
        <f>IF(AND('Mapa final'!$Y$61="Muy Alta",'Mapa final'!$AA$61="Moderado"),CONCATENATE("R9C",'Mapa final'!$O$61),"")</f>
        <v/>
      </c>
      <c r="AB14" s="52" t="str">
        <f>IF(AND('Mapa final'!$Y$56="Muy Alta",'Mapa final'!$AA$56="Mayor"),CONCATENATE("R9C",'Mapa final'!$O$56),"")</f>
        <v/>
      </c>
      <c r="AC14" s="53" t="str">
        <f>IF(AND('Mapa final'!$Y$57="Muy Alta",'Mapa final'!$AA$57="Mayor"),CONCATENATE("R9C",'Mapa final'!$O$57),"")</f>
        <v/>
      </c>
      <c r="AD14" s="53" t="str">
        <f>IF(AND('Mapa final'!$Y$58="Muy Alta",'Mapa final'!$AA$58="Mayor"),CONCATENATE("R9C",'Mapa final'!$O$58),"")</f>
        <v/>
      </c>
      <c r="AE14" s="53" t="str">
        <f>IF(AND('Mapa final'!$Y$59="Muy Alta",'Mapa final'!$AA$59="Mayor"),CONCATENATE("R9C",'Mapa final'!$O$59),"")</f>
        <v/>
      </c>
      <c r="AF14" s="53" t="str">
        <f>IF(AND('Mapa final'!$Y$60="Muy Alta",'Mapa final'!$AA$60="Mayor"),CONCATENATE("R9C",'Mapa final'!$O$60),"")</f>
        <v/>
      </c>
      <c r="AG14" s="54" t="str">
        <f>IF(AND('Mapa final'!$Y$61="Muy Alta",'Mapa final'!$AA$61="Mayor"),CONCATENATE("R9C",'Mapa final'!$O$61),"")</f>
        <v/>
      </c>
      <c r="AH14" s="55" t="str">
        <f>IF(AND('Mapa final'!$Y$56="Muy Alta",'Mapa final'!$AA$56="Catastrófico"),CONCATENATE("R9C",'Mapa final'!$O$56),"")</f>
        <v/>
      </c>
      <c r="AI14" s="56" t="str">
        <f>IF(AND('Mapa final'!$Y$57="Muy Alta",'Mapa final'!$AA$57="Catastrófico"),CONCATENATE("R9C",'Mapa final'!$O$57),"")</f>
        <v/>
      </c>
      <c r="AJ14" s="56" t="str">
        <f>IF(AND('Mapa final'!$Y$58="Muy Alta",'Mapa final'!$AA$58="Catastrófico"),CONCATENATE("R9C",'Mapa final'!$O$58),"")</f>
        <v/>
      </c>
      <c r="AK14" s="56" t="str">
        <f>IF(AND('Mapa final'!$Y$59="Muy Alta",'Mapa final'!$AA$59="Catastrófico"),CONCATENATE("R9C",'Mapa final'!$O$59),"")</f>
        <v/>
      </c>
      <c r="AL14" s="56" t="str">
        <f>IF(AND('Mapa final'!$Y$60="Muy Alta",'Mapa final'!$AA$60="Catastrófico"),CONCATENATE("R9C",'Mapa final'!$O$60),"")</f>
        <v/>
      </c>
      <c r="AM14" s="57" t="str">
        <f>IF(AND('Mapa final'!$Y$61="Muy Alta",'Mapa final'!$AA$61="Catastrófico"),CONCATENATE("R9C",'Mapa final'!$O$61),"")</f>
        <v/>
      </c>
      <c r="AN14" s="83"/>
      <c r="AO14" s="456"/>
      <c r="AP14" s="457"/>
      <c r="AQ14" s="457"/>
      <c r="AR14" s="457"/>
      <c r="AS14" s="457"/>
      <c r="AT14" s="45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395"/>
      <c r="C15" s="395"/>
      <c r="D15" s="396"/>
      <c r="E15" s="439"/>
      <c r="F15" s="440"/>
      <c r="G15" s="440"/>
      <c r="H15" s="440"/>
      <c r="I15" s="441"/>
      <c r="J15" s="58" t="str">
        <f>IF(AND('Mapa final'!$Y$62="Muy Alta",'Mapa final'!$AA$62="Leve"),CONCATENATE("R10C",'Mapa final'!$O$62),"")</f>
        <v/>
      </c>
      <c r="K15" s="59" t="str">
        <f>IF(AND('Mapa final'!$Y$63="Muy Alta",'Mapa final'!$AA$63="Leve"),CONCATENATE("R10C",'Mapa final'!$O$63),"")</f>
        <v/>
      </c>
      <c r="L15" s="59" t="str">
        <f>IF(AND('Mapa final'!$Y$64="Muy Alta",'Mapa final'!$AA$64="Leve"),CONCATENATE("R10C",'Mapa final'!$O$64),"")</f>
        <v/>
      </c>
      <c r="M15" s="59" t="str">
        <f>IF(AND('Mapa final'!$Y$65="Muy Alta",'Mapa final'!$AA$65="Leve"),CONCATENATE("R10C",'Mapa final'!$O$65),"")</f>
        <v/>
      </c>
      <c r="N15" s="59" t="str">
        <f>IF(AND('Mapa final'!$Y$66="Muy Alta",'Mapa final'!$AA$66="Leve"),CONCATENATE("R10C",'Mapa final'!$O$66),"")</f>
        <v/>
      </c>
      <c r="O15" s="60" t="str">
        <f>IF(AND('Mapa final'!$Y$67="Muy Alta",'Mapa final'!$AA$67="Leve"),CONCATENATE("R10C",'Mapa final'!$O$67),"")</f>
        <v/>
      </c>
      <c r="P15" s="52" t="str">
        <f>IF(AND('Mapa final'!$Y$62="Muy Alta",'Mapa final'!$AA$62="Menor"),CONCATENATE("R10C",'Mapa final'!$O$62),"")</f>
        <v/>
      </c>
      <c r="Q15" s="53" t="str">
        <f>IF(AND('Mapa final'!$Y$63="Muy Alta",'Mapa final'!$AA$63="Menor"),CONCATENATE("R10C",'Mapa final'!$O$63),"")</f>
        <v/>
      </c>
      <c r="R15" s="53" t="str">
        <f>IF(AND('Mapa final'!$Y$64="Muy Alta",'Mapa final'!$AA$64="Menor"),CONCATENATE("R10C",'Mapa final'!$O$64),"")</f>
        <v/>
      </c>
      <c r="S15" s="53" t="str">
        <f>IF(AND('Mapa final'!$Y$65="Muy Alta",'Mapa final'!$AA$65="Menor"),CONCATENATE("R10C",'Mapa final'!$O$65),"")</f>
        <v/>
      </c>
      <c r="T15" s="53" t="str">
        <f>IF(AND('Mapa final'!$Y$66="Muy Alta",'Mapa final'!$AA$66="Menor"),CONCATENATE("R10C",'Mapa final'!$O$66),"")</f>
        <v/>
      </c>
      <c r="U15" s="54" t="str">
        <f>IF(AND('Mapa final'!$Y$67="Muy Alta",'Mapa final'!$AA$67="Menor"),CONCATENATE("R10C",'Mapa final'!$O$67),"")</f>
        <v/>
      </c>
      <c r="V15" s="58" t="str">
        <f>IF(AND('Mapa final'!$Y$62="Muy Alta",'Mapa final'!$AA$62="Moderado"),CONCATENATE("R10C",'Mapa final'!$O$62),"")</f>
        <v/>
      </c>
      <c r="W15" s="59" t="str">
        <f>IF(AND('Mapa final'!$Y$63="Muy Alta",'Mapa final'!$AA$63="Moderado"),CONCATENATE("R10C",'Mapa final'!$O$63),"")</f>
        <v/>
      </c>
      <c r="X15" s="59" t="str">
        <f>IF(AND('Mapa final'!$Y$64="Muy Alta",'Mapa final'!$AA$64="Moderado"),CONCATENATE("R10C",'Mapa final'!$O$64),"")</f>
        <v/>
      </c>
      <c r="Y15" s="59" t="str">
        <f>IF(AND('Mapa final'!$Y$65="Muy Alta",'Mapa final'!$AA$65="Moderado"),CONCATENATE("R10C",'Mapa final'!$O$65),"")</f>
        <v/>
      </c>
      <c r="Z15" s="59" t="str">
        <f>IF(AND('Mapa final'!$Y$66="Muy Alta",'Mapa final'!$AA$66="Moderado"),CONCATENATE("R10C",'Mapa final'!$O$66),"")</f>
        <v/>
      </c>
      <c r="AA15" s="60" t="str">
        <f>IF(AND('Mapa final'!$Y$67="Muy Alta",'Mapa final'!$AA$67="Moderado"),CONCATENATE("R10C",'Mapa final'!$O$67),"")</f>
        <v/>
      </c>
      <c r="AB15" s="52" t="str">
        <f>IF(AND('Mapa final'!$Y$62="Muy Alta",'Mapa final'!$AA$62="Mayor"),CONCATENATE("R10C",'Mapa final'!$O$62),"")</f>
        <v/>
      </c>
      <c r="AC15" s="53" t="str">
        <f>IF(AND('Mapa final'!$Y$63="Muy Alta",'Mapa final'!$AA$63="Mayor"),CONCATENATE("R10C",'Mapa final'!$O$63),"")</f>
        <v/>
      </c>
      <c r="AD15" s="53" t="str">
        <f>IF(AND('Mapa final'!$Y$64="Muy Alta",'Mapa final'!$AA$64="Mayor"),CONCATENATE("R10C",'Mapa final'!$O$64),"")</f>
        <v/>
      </c>
      <c r="AE15" s="53" t="str">
        <f>IF(AND('Mapa final'!$Y$65="Muy Alta",'Mapa final'!$AA$65="Mayor"),CONCATENATE("R10C",'Mapa final'!$O$65),"")</f>
        <v/>
      </c>
      <c r="AF15" s="53" t="str">
        <f>IF(AND('Mapa final'!$Y$66="Muy Alta",'Mapa final'!$AA$66="Mayor"),CONCATENATE("R10C",'Mapa final'!$O$66),"")</f>
        <v/>
      </c>
      <c r="AG15" s="54" t="str">
        <f>IF(AND('Mapa final'!$Y$67="Muy Alta",'Mapa final'!$AA$67="Mayor"),CONCATENATE("R10C",'Mapa final'!$O$67),"")</f>
        <v/>
      </c>
      <c r="AH15" s="61" t="str">
        <f>IF(AND('Mapa final'!$Y$62="Muy Alta",'Mapa final'!$AA$62="Catastrófico"),CONCATENATE("R10C",'Mapa final'!$O$62),"")</f>
        <v/>
      </c>
      <c r="AI15" s="62" t="str">
        <f>IF(AND('Mapa final'!$Y$63="Muy Alta",'Mapa final'!$AA$63="Catastrófico"),CONCATENATE("R10C",'Mapa final'!$O$63),"")</f>
        <v/>
      </c>
      <c r="AJ15" s="62" t="str">
        <f>IF(AND('Mapa final'!$Y$64="Muy Alta",'Mapa final'!$AA$64="Catastrófico"),CONCATENATE("R10C",'Mapa final'!$O$64),"")</f>
        <v/>
      </c>
      <c r="AK15" s="62" t="str">
        <f>IF(AND('Mapa final'!$Y$65="Muy Alta",'Mapa final'!$AA$65="Catastrófico"),CONCATENATE("R10C",'Mapa final'!$O$65),"")</f>
        <v/>
      </c>
      <c r="AL15" s="62" t="str">
        <f>IF(AND('Mapa final'!$Y$66="Muy Alta",'Mapa final'!$AA$66="Catastrófico"),CONCATENATE("R10C",'Mapa final'!$O$66),"")</f>
        <v/>
      </c>
      <c r="AM15" s="63" t="str">
        <f>IF(AND('Mapa final'!$Y$67="Muy Alta",'Mapa final'!$AA$67="Catastrófico"),CONCATENATE("R10C",'Mapa final'!$O$67),"")</f>
        <v/>
      </c>
      <c r="AN15" s="83"/>
      <c r="AO15" s="459"/>
      <c r="AP15" s="460"/>
      <c r="AQ15" s="460"/>
      <c r="AR15" s="460"/>
      <c r="AS15" s="460"/>
      <c r="AT15" s="46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395"/>
      <c r="C16" s="395"/>
      <c r="D16" s="396"/>
      <c r="E16" s="433" t="s">
        <v>94</v>
      </c>
      <c r="F16" s="434"/>
      <c r="G16" s="434"/>
      <c r="H16" s="434"/>
      <c r="I16" s="434"/>
      <c r="J16" s="64" t="str">
        <f>IF(AND('Mapa final'!$Y$24="Alta",'Mapa final'!$AA$24="Leve"),CONCATENATE("R1C",'Mapa final'!$O$24),"")</f>
        <v/>
      </c>
      <c r="K16" s="65" t="str">
        <f>IF(AND('Mapa final'!$Y$25="Alta",'Mapa final'!$AA$25="Leve"),CONCATENATE("R1C",'Mapa final'!$O$25),"")</f>
        <v/>
      </c>
      <c r="L16" s="65" t="e">
        <f>IF(AND('Mapa final'!#REF!="Alta",'Mapa final'!#REF!="Leve"),CONCATENATE("R1C",'Mapa final'!#REF!),"")</f>
        <v>#REF!</v>
      </c>
      <c r="M16" s="65" t="e">
        <f>IF(AND('Mapa final'!#REF!="Alta",'Mapa final'!#REF!="Leve"),CONCATENATE("R1C",'Mapa final'!#REF!),"")</f>
        <v>#REF!</v>
      </c>
      <c r="N16" s="65" t="e">
        <f>IF(AND('Mapa final'!#REF!="Alta",'Mapa final'!#REF!="Leve"),CONCATENATE("R1C",'Mapa final'!#REF!),"")</f>
        <v>#REF!</v>
      </c>
      <c r="O16" s="66" t="e">
        <f>IF(AND('Mapa final'!#REF!="Alta",'Mapa final'!#REF!="Leve"),CONCATENATE("R1C",'Mapa final'!#REF!),"")</f>
        <v>#REF!</v>
      </c>
      <c r="P16" s="64" t="str">
        <f>IF(AND('Mapa final'!$Y$24="Alta",'Mapa final'!$AA$24="Menor"),CONCATENATE("R1C",'Mapa final'!$O$24),"")</f>
        <v/>
      </c>
      <c r="Q16" s="65" t="str">
        <f>IF(AND('Mapa final'!$Y$25="Alta",'Mapa final'!$AA$25="Menor"),CONCATENATE("R1C",'Mapa final'!$O$25),"")</f>
        <v/>
      </c>
      <c r="R16" s="65" t="e">
        <f>IF(AND('Mapa final'!#REF!="Alta",'Mapa final'!#REF!="Menor"),CONCATENATE("R1C",'Mapa final'!#REF!),"")</f>
        <v>#REF!</v>
      </c>
      <c r="S16" s="65" t="e">
        <f>IF(AND('Mapa final'!#REF!="Alta",'Mapa final'!#REF!="Menor"),CONCATENATE("R1C",'Mapa final'!#REF!),"")</f>
        <v>#REF!</v>
      </c>
      <c r="T16" s="65" t="e">
        <f>IF(AND('Mapa final'!#REF!="Alta",'Mapa final'!#REF!="Menor"),CONCATENATE("R1C",'Mapa final'!#REF!),"")</f>
        <v>#REF!</v>
      </c>
      <c r="U16" s="66" t="e">
        <f>IF(AND('Mapa final'!#REF!="Alta",'Mapa final'!#REF!="Menor"),CONCATENATE("R1C",'Mapa final'!#REF!),"")</f>
        <v>#REF!</v>
      </c>
      <c r="V16" s="46" t="str">
        <f>IF(AND('Mapa final'!$Y$24="Alta",'Mapa final'!$AA$24="Moderado"),CONCATENATE("R1C",'Mapa final'!$O$24),"")</f>
        <v/>
      </c>
      <c r="W16" s="47" t="str">
        <f>IF(AND('Mapa final'!$Y$25="Alta",'Mapa final'!$AA$25="Moderado"),CONCATENATE("R1C",'Mapa final'!$O$25),"")</f>
        <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final'!$Y$24="Alta",'Mapa final'!$AA$24="Mayor"),CONCATENATE("R1C",'Mapa final'!$O$24),"")</f>
        <v/>
      </c>
      <c r="AC16" s="47" t="str">
        <f>IF(AND('Mapa final'!$Y$25="Alta",'Mapa final'!$AA$25="Mayor"),CONCATENATE("R1C",'Mapa final'!$O$25),"")</f>
        <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final'!$Y$24="Alta",'Mapa final'!$AA$24="Catastrófico"),CONCATENATE("R1C",'Mapa final'!$O$24),"")</f>
        <v/>
      </c>
      <c r="AI16" s="50" t="str">
        <f>IF(AND('Mapa final'!$Y$25="Alta",'Mapa final'!$AA$25="Catastrófico"),CONCATENATE("R1C",'Mapa final'!$O$25),"")</f>
        <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3"/>
      <c r="AO16" s="443" t="s">
        <v>95</v>
      </c>
      <c r="AP16" s="444"/>
      <c r="AQ16" s="444"/>
      <c r="AR16" s="444"/>
      <c r="AS16" s="444"/>
      <c r="AT16" s="44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395"/>
      <c r="C17" s="395"/>
      <c r="D17" s="396"/>
      <c r="E17" s="452"/>
      <c r="F17" s="437"/>
      <c r="G17" s="437"/>
      <c r="H17" s="437"/>
      <c r="I17" s="437"/>
      <c r="J17" s="67" t="str">
        <f>IF(AND('Mapa final'!$Y$26="Alta",'Mapa final'!$AA$26="Leve"),CONCATENATE("R2C",'Mapa final'!$O$26),"")</f>
        <v/>
      </c>
      <c r="K17" s="68" t="e">
        <f>IF(AND('Mapa final'!#REF!="Alta",'Mapa final'!#REF!="Leve"),CONCATENATE("R2C",'Mapa final'!#REF!),"")</f>
        <v>#REF!</v>
      </c>
      <c r="L17" s="68" t="e">
        <f>IF(AND('Mapa final'!#REF!="Alta",'Mapa final'!#REF!="Leve"),CONCATENATE("R2C",'Mapa final'!#REF!),"")</f>
        <v>#REF!</v>
      </c>
      <c r="M17" s="68" t="e">
        <f>IF(AND('Mapa final'!#REF!="Alta",'Mapa final'!#REF!="Leve"),CONCATENATE("R2C",'Mapa final'!#REF!),"")</f>
        <v>#REF!</v>
      </c>
      <c r="N17" s="68" t="e">
        <f>IF(AND('Mapa final'!#REF!="Alta",'Mapa final'!#REF!="Leve"),CONCATENATE("R2C",'Mapa final'!#REF!),"")</f>
        <v>#REF!</v>
      </c>
      <c r="O17" s="69" t="e">
        <f>IF(AND('Mapa final'!#REF!="Alta",'Mapa final'!#REF!="Leve"),CONCATENATE("R2C",'Mapa final'!#REF!),"")</f>
        <v>#REF!</v>
      </c>
      <c r="P17" s="67" t="str">
        <f>IF(AND('Mapa final'!$Y$26="Alta",'Mapa final'!$AA$26="Menor"),CONCATENATE("R2C",'Mapa final'!$O$26),"")</f>
        <v/>
      </c>
      <c r="Q17" s="68" t="e">
        <f>IF(AND('Mapa final'!#REF!="Alta",'Mapa final'!#REF!="Menor"),CONCATENATE("R2C",'Mapa final'!#REF!),"")</f>
        <v>#REF!</v>
      </c>
      <c r="R17" s="68" t="e">
        <f>IF(AND('Mapa final'!#REF!="Alta",'Mapa final'!#REF!="Menor"),CONCATENATE("R2C",'Mapa final'!#REF!),"")</f>
        <v>#REF!</v>
      </c>
      <c r="S17" s="68" t="e">
        <f>IF(AND('Mapa final'!#REF!="Alta",'Mapa final'!#REF!="Menor"),CONCATENATE("R2C",'Mapa final'!#REF!),"")</f>
        <v>#REF!</v>
      </c>
      <c r="T17" s="68" t="e">
        <f>IF(AND('Mapa final'!#REF!="Alta",'Mapa final'!#REF!="Menor"),CONCATENATE("R2C",'Mapa final'!#REF!),"")</f>
        <v>#REF!</v>
      </c>
      <c r="U17" s="69" t="e">
        <f>IF(AND('Mapa final'!#REF!="Alta",'Mapa final'!#REF!="Menor"),CONCATENATE("R2C",'Mapa final'!#REF!),"")</f>
        <v>#REF!</v>
      </c>
      <c r="V17" s="52" t="str">
        <f>IF(AND('Mapa final'!$Y$26="Alta",'Mapa final'!$AA$26="Moderado"),CONCATENATE("R2C",'Mapa final'!$O$26),"")</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final'!$Y$26="Alta",'Mapa final'!$AA$26="Mayor"),CONCATENATE("R2C",'Mapa final'!$O$26),"")</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final'!$Y$26="Alta",'Mapa final'!$AA$26="Catastrófico"),CONCATENATE("R2C",'Mapa final'!$O$26),"")</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3"/>
      <c r="AO17" s="446"/>
      <c r="AP17" s="447"/>
      <c r="AQ17" s="447"/>
      <c r="AR17" s="447"/>
      <c r="AS17" s="447"/>
      <c r="AT17" s="44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395"/>
      <c r="C18" s="395"/>
      <c r="D18" s="396"/>
      <c r="E18" s="436"/>
      <c r="F18" s="437"/>
      <c r="G18" s="437"/>
      <c r="H18" s="437"/>
      <c r="I18" s="437"/>
      <c r="J18" s="67" t="str">
        <f>IF(AND('Mapa final'!$Y$27="Alta",'Mapa final'!$AA$27="Leve"),CONCATENATE("R3C",'Mapa final'!$O$27),"")</f>
        <v/>
      </c>
      <c r="K18" s="68" t="str">
        <f>IF(AND('Mapa final'!$Y$28="Alta",'Mapa final'!$AA$28="Leve"),CONCATENATE("R3C",'Mapa final'!$O$28),"")</f>
        <v/>
      </c>
      <c r="L18" s="68" t="str">
        <f>IF(AND('Mapa final'!$Y$29="Alta",'Mapa final'!$AA$29="Leve"),CONCATENATE("R3C",'Mapa final'!$O$29),"")</f>
        <v/>
      </c>
      <c r="M18" s="68" t="e">
        <f>IF(AND('Mapa final'!#REF!="Alta",'Mapa final'!#REF!="Leve"),CONCATENATE("R3C",'Mapa final'!#REF!),"")</f>
        <v>#REF!</v>
      </c>
      <c r="N18" s="68" t="e">
        <f>IF(AND('Mapa final'!#REF!="Alta",'Mapa final'!#REF!="Leve"),CONCATENATE("R3C",'Mapa final'!#REF!),"")</f>
        <v>#REF!</v>
      </c>
      <c r="O18" s="69" t="e">
        <f>IF(AND('Mapa final'!#REF!="Alta",'Mapa final'!#REF!="Leve"),CONCATENATE("R3C",'Mapa final'!#REF!),"")</f>
        <v>#REF!</v>
      </c>
      <c r="P18" s="67" t="str">
        <f>IF(AND('Mapa final'!$Y$27="Alta",'Mapa final'!$AA$27="Menor"),CONCATENATE("R3C",'Mapa final'!$O$27),"")</f>
        <v/>
      </c>
      <c r="Q18" s="68" t="str">
        <f>IF(AND('Mapa final'!$Y$28="Alta",'Mapa final'!$AA$28="Menor"),CONCATENATE("R3C",'Mapa final'!$O$28),"")</f>
        <v/>
      </c>
      <c r="R18" s="68" t="str">
        <f>IF(AND('Mapa final'!$Y$29="Alta",'Mapa final'!$AA$29="Menor"),CONCATENATE("R3C",'Mapa final'!$O$29),"")</f>
        <v/>
      </c>
      <c r="S18" s="68" t="e">
        <f>IF(AND('Mapa final'!#REF!="Alta",'Mapa final'!#REF!="Menor"),CONCATENATE("R3C",'Mapa final'!#REF!),"")</f>
        <v>#REF!</v>
      </c>
      <c r="T18" s="68" t="e">
        <f>IF(AND('Mapa final'!#REF!="Alta",'Mapa final'!#REF!="Menor"),CONCATENATE("R3C",'Mapa final'!#REF!),"")</f>
        <v>#REF!</v>
      </c>
      <c r="U18" s="69" t="e">
        <f>IF(AND('Mapa final'!#REF!="Alta",'Mapa final'!#REF!="Menor"),CONCATENATE("R3C",'Mapa final'!#REF!),"")</f>
        <v>#REF!</v>
      </c>
      <c r="V18" s="52" t="str">
        <f>IF(AND('Mapa final'!$Y$27="Alta",'Mapa final'!$AA$27="Moderado"),CONCATENATE("R3C",'Mapa final'!$O$27),"")</f>
        <v/>
      </c>
      <c r="W18" s="53" t="str">
        <f>IF(AND('Mapa final'!$Y$28="Alta",'Mapa final'!$AA$28="Moderado"),CONCATENATE("R3C",'Mapa final'!$O$28),"")</f>
        <v/>
      </c>
      <c r="X18" s="53" t="str">
        <f>IF(AND('Mapa final'!$Y$29="Alta",'Mapa final'!$AA$29="Moderado"),CONCATENATE("R3C",'Mapa final'!$O$29),"")</f>
        <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final'!$Y$27="Alta",'Mapa final'!$AA$27="Mayor"),CONCATENATE("R3C",'Mapa final'!$O$27),"")</f>
        <v/>
      </c>
      <c r="AC18" s="53" t="str">
        <f>IF(AND('Mapa final'!$Y$28="Alta",'Mapa final'!$AA$28="Mayor"),CONCATENATE("R3C",'Mapa final'!$O$28),"")</f>
        <v/>
      </c>
      <c r="AD18" s="53" t="str">
        <f>IF(AND('Mapa final'!$Y$29="Alta",'Mapa final'!$AA$29="Mayor"),CONCATENATE("R3C",'Mapa final'!$O$29),"")</f>
        <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final'!$Y$27="Alta",'Mapa final'!$AA$27="Catastrófico"),CONCATENATE("R3C",'Mapa final'!$O$27),"")</f>
        <v/>
      </c>
      <c r="AI18" s="56" t="str">
        <f>IF(AND('Mapa final'!$Y$28="Alta",'Mapa final'!$AA$28="Catastrófico"),CONCATENATE("R3C",'Mapa final'!$O$28),"")</f>
        <v/>
      </c>
      <c r="AJ18" s="56" t="str">
        <f>IF(AND('Mapa final'!$Y$29="Alta",'Mapa final'!$AA$29="Catastrófico"),CONCATENATE("R3C",'Mapa final'!$O$29),"")</f>
        <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3"/>
      <c r="AO18" s="446"/>
      <c r="AP18" s="447"/>
      <c r="AQ18" s="447"/>
      <c r="AR18" s="447"/>
      <c r="AS18" s="447"/>
      <c r="AT18" s="44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395"/>
      <c r="C19" s="395"/>
      <c r="D19" s="396"/>
      <c r="E19" s="436"/>
      <c r="F19" s="437"/>
      <c r="G19" s="437"/>
      <c r="H19" s="437"/>
      <c r="I19" s="437"/>
      <c r="J19" s="67" t="str">
        <f>IF(AND('Mapa final'!$Y$30="Alta",'Mapa final'!$AA$30="Leve"),CONCATENATE("R4C",'Mapa final'!$O$30),"")</f>
        <v/>
      </c>
      <c r="K19" s="68" t="str">
        <f>IF(AND('Mapa final'!$Y$31="Alta",'Mapa final'!$AA$31="Leve"),CONCATENATE("R4C",'Mapa final'!$O$31),"")</f>
        <v/>
      </c>
      <c r="L19" s="68" t="str">
        <f>IF(AND('Mapa final'!$Y$32="Alta",'Mapa final'!$AA$32="Leve"),CONCATENATE("R4C",'Mapa final'!$O$32),"")</f>
        <v/>
      </c>
      <c r="M19" s="68" t="str">
        <f>IF(AND('Mapa final'!$Y$33="Alta",'Mapa final'!$AA$33="Leve"),CONCATENATE("R4C",'Mapa final'!$O$33),"")</f>
        <v/>
      </c>
      <c r="N19" s="68" t="str">
        <f>IF(AND('Mapa final'!$Y$34="Alta",'Mapa final'!$AA$34="Leve"),CONCATENATE("R4C",'Mapa final'!$O$34),"")</f>
        <v/>
      </c>
      <c r="O19" s="69" t="str">
        <f>IF(AND('Mapa final'!$Y$35="Alta",'Mapa final'!$AA$35="Leve"),CONCATENATE("R4C",'Mapa final'!$O$35),"")</f>
        <v/>
      </c>
      <c r="P19" s="67" t="str">
        <f>IF(AND('Mapa final'!$Y$30="Alta",'Mapa final'!$AA$30="Menor"),CONCATENATE("R4C",'Mapa final'!$O$30),"")</f>
        <v/>
      </c>
      <c r="Q19" s="68" t="str">
        <f>IF(AND('Mapa final'!$Y$31="Alta",'Mapa final'!$AA$31="Menor"),CONCATENATE("R4C",'Mapa final'!$O$31),"")</f>
        <v/>
      </c>
      <c r="R19" s="68" t="str">
        <f>IF(AND('Mapa final'!$Y$32="Alta",'Mapa final'!$AA$32="Menor"),CONCATENATE("R4C",'Mapa final'!$O$32),"")</f>
        <v/>
      </c>
      <c r="S19" s="68" t="str">
        <f>IF(AND('Mapa final'!$Y$33="Alta",'Mapa final'!$AA$33="Menor"),CONCATENATE("R4C",'Mapa final'!$O$33),"")</f>
        <v/>
      </c>
      <c r="T19" s="68" t="str">
        <f>IF(AND('Mapa final'!$Y$34="Alta",'Mapa final'!$AA$34="Menor"),CONCATENATE("R4C",'Mapa final'!$O$34),"")</f>
        <v/>
      </c>
      <c r="U19" s="69" t="str">
        <f>IF(AND('Mapa final'!$Y$35="Alta",'Mapa final'!$AA$35="Menor"),CONCATENATE("R4C",'Mapa final'!$O$35),"")</f>
        <v/>
      </c>
      <c r="V19" s="52" t="str">
        <f>IF(AND('Mapa final'!$Y$30="Alta",'Mapa final'!$AA$30="Moderado"),CONCATENATE("R4C",'Mapa final'!$O$30),"")</f>
        <v/>
      </c>
      <c r="W19" s="53" t="str">
        <f>IF(AND('Mapa final'!$Y$31="Alta",'Mapa final'!$AA$31="Moderado"),CONCATENATE("R4C",'Mapa final'!$O$31),"")</f>
        <v/>
      </c>
      <c r="X19" s="53" t="str">
        <f>IF(AND('Mapa final'!$Y$32="Alta",'Mapa final'!$AA$32="Moderado"),CONCATENATE("R4C",'Mapa final'!$O$32),"")</f>
        <v/>
      </c>
      <c r="Y19" s="53" t="str">
        <f>IF(AND('Mapa final'!$Y$33="Alta",'Mapa final'!$AA$33="Moderado"),CONCATENATE("R4C",'Mapa final'!$O$33),"")</f>
        <v/>
      </c>
      <c r="Z19" s="53" t="str">
        <f>IF(AND('Mapa final'!$Y$34="Alta",'Mapa final'!$AA$34="Moderado"),CONCATENATE("R4C",'Mapa final'!$O$34),"")</f>
        <v/>
      </c>
      <c r="AA19" s="54" t="str">
        <f>IF(AND('Mapa final'!$Y$35="Alta",'Mapa final'!$AA$35="Moderado"),CONCATENATE("R4C",'Mapa final'!$O$35),"")</f>
        <v/>
      </c>
      <c r="AB19" s="52" t="str">
        <f>IF(AND('Mapa final'!$Y$30="Alta",'Mapa final'!$AA$30="Mayor"),CONCATENATE("R4C",'Mapa final'!$O$30),"")</f>
        <v/>
      </c>
      <c r="AC19" s="53" t="str">
        <f>IF(AND('Mapa final'!$Y$31="Alta",'Mapa final'!$AA$31="Mayor"),CONCATENATE("R4C",'Mapa final'!$O$31),"")</f>
        <v/>
      </c>
      <c r="AD19" s="53" t="str">
        <f>IF(AND('Mapa final'!$Y$32="Alta",'Mapa final'!$AA$32="Mayor"),CONCATENATE("R4C",'Mapa final'!$O$32),"")</f>
        <v/>
      </c>
      <c r="AE19" s="53" t="str">
        <f>IF(AND('Mapa final'!$Y$33="Alta",'Mapa final'!$AA$33="Mayor"),CONCATENATE("R4C",'Mapa final'!$O$33),"")</f>
        <v/>
      </c>
      <c r="AF19" s="53" t="str">
        <f>IF(AND('Mapa final'!$Y$34="Alta",'Mapa final'!$AA$34="Mayor"),CONCATENATE("R4C",'Mapa final'!$O$34),"")</f>
        <v/>
      </c>
      <c r="AG19" s="54" t="str">
        <f>IF(AND('Mapa final'!$Y$35="Alta",'Mapa final'!$AA$35="Mayor"),CONCATENATE("R4C",'Mapa final'!$O$35),"")</f>
        <v/>
      </c>
      <c r="AH19" s="55" t="str">
        <f>IF(AND('Mapa final'!$Y$30="Alta",'Mapa final'!$AA$30="Catastrófico"),CONCATENATE("R4C",'Mapa final'!$O$30),"")</f>
        <v/>
      </c>
      <c r="AI19" s="56" t="str">
        <f>IF(AND('Mapa final'!$Y$31="Alta",'Mapa final'!$AA$31="Catastrófico"),CONCATENATE("R4C",'Mapa final'!$O$31),"")</f>
        <v/>
      </c>
      <c r="AJ19" s="56" t="str">
        <f>IF(AND('Mapa final'!$Y$32="Alta",'Mapa final'!$AA$32="Catastrófico"),CONCATENATE("R4C",'Mapa final'!$O$32),"")</f>
        <v/>
      </c>
      <c r="AK19" s="56" t="str">
        <f>IF(AND('Mapa final'!$Y$33="Alta",'Mapa final'!$AA$33="Catastrófico"),CONCATENATE("R4C",'Mapa final'!$O$33),"")</f>
        <v/>
      </c>
      <c r="AL19" s="56" t="str">
        <f>IF(AND('Mapa final'!$Y$34="Alta",'Mapa final'!$AA$34="Catastrófico"),CONCATENATE("R4C",'Mapa final'!$O$34),"")</f>
        <v/>
      </c>
      <c r="AM19" s="57" t="str">
        <f>IF(AND('Mapa final'!$Y$35="Alta",'Mapa final'!$AA$35="Catastrófico"),CONCATENATE("R4C",'Mapa final'!$O$35),"")</f>
        <v/>
      </c>
      <c r="AN19" s="83"/>
      <c r="AO19" s="446"/>
      <c r="AP19" s="447"/>
      <c r="AQ19" s="447"/>
      <c r="AR19" s="447"/>
      <c r="AS19" s="447"/>
      <c r="AT19" s="44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395"/>
      <c r="C20" s="395"/>
      <c r="D20" s="396"/>
      <c r="E20" s="436"/>
      <c r="F20" s="437"/>
      <c r="G20" s="437"/>
      <c r="H20" s="437"/>
      <c r="I20" s="437"/>
      <c r="J20" s="67" t="str">
        <f>IF(AND('Mapa final'!$Y$36="Alta",'Mapa final'!$AA$36="Leve"),CONCATENATE("R5C",'Mapa final'!$O$36),"")</f>
        <v/>
      </c>
      <c r="K20" s="68" t="str">
        <f>IF(AND('Mapa final'!$Y$37="Alta",'Mapa final'!$AA$37="Leve"),CONCATENATE("R5C",'Mapa final'!$O$37),"")</f>
        <v/>
      </c>
      <c r="L20" s="68" t="str">
        <f>IF(AND('Mapa final'!$Y$38="Alta",'Mapa final'!$AA$38="Leve"),CONCATENATE("R5C",'Mapa final'!$O$38),"")</f>
        <v/>
      </c>
      <c r="M20" s="68" t="str">
        <f>IF(AND('Mapa final'!$Y$39="Alta",'Mapa final'!$AA$39="Leve"),CONCATENATE("R5C",'Mapa final'!$O$39),"")</f>
        <v/>
      </c>
      <c r="N20" s="68" t="str">
        <f>IF(AND('Mapa final'!$Y$40="Alta",'Mapa final'!$AA$40="Leve"),CONCATENATE("R5C",'Mapa final'!$O$40),"")</f>
        <v/>
      </c>
      <c r="O20" s="69" t="str">
        <f>IF(AND('Mapa final'!$Y$41="Alta",'Mapa final'!$AA$41="Leve"),CONCATENATE("R5C",'Mapa final'!$O$41),"")</f>
        <v/>
      </c>
      <c r="P20" s="67" t="str">
        <f>IF(AND('Mapa final'!$Y$36="Alta",'Mapa final'!$AA$36="Menor"),CONCATENATE("R5C",'Mapa final'!$O$36),"")</f>
        <v/>
      </c>
      <c r="Q20" s="68" t="str">
        <f>IF(AND('Mapa final'!$Y$37="Alta",'Mapa final'!$AA$37="Menor"),CONCATENATE("R5C",'Mapa final'!$O$37),"")</f>
        <v/>
      </c>
      <c r="R20" s="68" t="str">
        <f>IF(AND('Mapa final'!$Y$38="Alta",'Mapa final'!$AA$38="Menor"),CONCATENATE("R5C",'Mapa final'!$O$38),"")</f>
        <v/>
      </c>
      <c r="S20" s="68" t="str">
        <f>IF(AND('Mapa final'!$Y$39="Alta",'Mapa final'!$AA$39="Menor"),CONCATENATE("R5C",'Mapa final'!$O$39),"")</f>
        <v/>
      </c>
      <c r="T20" s="68" t="str">
        <f>IF(AND('Mapa final'!$Y$40="Alta",'Mapa final'!$AA$40="Menor"),CONCATENATE("R5C",'Mapa final'!$O$40),"")</f>
        <v/>
      </c>
      <c r="U20" s="69" t="str">
        <f>IF(AND('Mapa final'!$Y$41="Alta",'Mapa final'!$AA$41="Menor"),CONCATENATE("R5C",'Mapa final'!$O$41),"")</f>
        <v/>
      </c>
      <c r="V20" s="52" t="str">
        <f>IF(AND('Mapa final'!$Y$36="Alta",'Mapa final'!$AA$36="Moderado"),CONCATENATE("R5C",'Mapa final'!$O$36),"")</f>
        <v/>
      </c>
      <c r="W20" s="53" t="str">
        <f>IF(AND('Mapa final'!$Y$37="Alta",'Mapa final'!$AA$37="Moderado"),CONCATENATE("R5C",'Mapa final'!$O$37),"")</f>
        <v/>
      </c>
      <c r="X20" s="53" t="str">
        <f>IF(AND('Mapa final'!$Y$38="Alta",'Mapa final'!$AA$38="Moderado"),CONCATENATE("R5C",'Mapa final'!$O$38),"")</f>
        <v/>
      </c>
      <c r="Y20" s="53" t="str">
        <f>IF(AND('Mapa final'!$Y$39="Alta",'Mapa final'!$AA$39="Moderado"),CONCATENATE("R5C",'Mapa final'!$O$39),"")</f>
        <v/>
      </c>
      <c r="Z20" s="53" t="str">
        <f>IF(AND('Mapa final'!$Y$40="Alta",'Mapa final'!$AA$40="Moderado"),CONCATENATE("R5C",'Mapa final'!$O$40),"")</f>
        <v/>
      </c>
      <c r="AA20" s="54" t="str">
        <f>IF(AND('Mapa final'!$Y$41="Alta",'Mapa final'!$AA$41="Moderado"),CONCATENATE("R5C",'Mapa final'!$O$41),"")</f>
        <v/>
      </c>
      <c r="AB20" s="52" t="str">
        <f>IF(AND('Mapa final'!$Y$36="Alta",'Mapa final'!$AA$36="Mayor"),CONCATENATE("R5C",'Mapa final'!$O$36),"")</f>
        <v/>
      </c>
      <c r="AC20" s="53" t="str">
        <f>IF(AND('Mapa final'!$Y$37="Alta",'Mapa final'!$AA$37="Mayor"),CONCATENATE("R5C",'Mapa final'!$O$37),"")</f>
        <v/>
      </c>
      <c r="AD20" s="53" t="str">
        <f>IF(AND('Mapa final'!$Y$38="Alta",'Mapa final'!$AA$38="Mayor"),CONCATENATE("R5C",'Mapa final'!$O$38),"")</f>
        <v/>
      </c>
      <c r="AE20" s="53" t="str">
        <f>IF(AND('Mapa final'!$Y$39="Alta",'Mapa final'!$AA$39="Mayor"),CONCATENATE("R5C",'Mapa final'!$O$39),"")</f>
        <v/>
      </c>
      <c r="AF20" s="53" t="str">
        <f>IF(AND('Mapa final'!$Y$40="Alta",'Mapa final'!$AA$40="Mayor"),CONCATENATE("R5C",'Mapa final'!$O$40),"")</f>
        <v/>
      </c>
      <c r="AG20" s="54" t="str">
        <f>IF(AND('Mapa final'!$Y$41="Alta",'Mapa final'!$AA$41="Mayor"),CONCATENATE("R5C",'Mapa final'!$O$41),"")</f>
        <v/>
      </c>
      <c r="AH20" s="55" t="str">
        <f>IF(AND('Mapa final'!$Y$36="Alta",'Mapa final'!$AA$36="Catastrófico"),CONCATENATE("R5C",'Mapa final'!$O$36),"")</f>
        <v/>
      </c>
      <c r="AI20" s="56" t="str">
        <f>IF(AND('Mapa final'!$Y$37="Alta",'Mapa final'!$AA$37="Catastrófico"),CONCATENATE("R5C",'Mapa final'!$O$37),"")</f>
        <v/>
      </c>
      <c r="AJ20" s="56" t="str">
        <f>IF(AND('Mapa final'!$Y$38="Alta",'Mapa final'!$AA$38="Catastrófico"),CONCATENATE("R5C",'Mapa final'!$O$38),"")</f>
        <v/>
      </c>
      <c r="AK20" s="56" t="str">
        <f>IF(AND('Mapa final'!$Y$39="Alta",'Mapa final'!$AA$39="Catastrófico"),CONCATENATE("R5C",'Mapa final'!$O$39),"")</f>
        <v/>
      </c>
      <c r="AL20" s="56" t="str">
        <f>IF(AND('Mapa final'!$Y$40="Alta",'Mapa final'!$AA$40="Catastrófico"),CONCATENATE("R5C",'Mapa final'!$O$40),"")</f>
        <v/>
      </c>
      <c r="AM20" s="57" t="str">
        <f>IF(AND('Mapa final'!$Y$41="Alta",'Mapa final'!$AA$41="Catastrófico"),CONCATENATE("R5C",'Mapa final'!$O$41),"")</f>
        <v/>
      </c>
      <c r="AN20" s="83"/>
      <c r="AO20" s="446"/>
      <c r="AP20" s="447"/>
      <c r="AQ20" s="447"/>
      <c r="AR20" s="447"/>
      <c r="AS20" s="447"/>
      <c r="AT20" s="44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395"/>
      <c r="C21" s="395"/>
      <c r="D21" s="396"/>
      <c r="E21" s="436"/>
      <c r="F21" s="437"/>
      <c r="G21" s="437"/>
      <c r="H21" s="437"/>
      <c r="I21" s="437"/>
      <c r="J21" s="67" t="str">
        <f>IF(AND('Mapa final'!$Y$42="Alta",'Mapa final'!$AA$42="Leve"),CONCATENATE("R6C",'Mapa final'!$O$42),"")</f>
        <v/>
      </c>
      <c r="K21" s="68" t="str">
        <f>IF(AND('Mapa final'!$Y$43="Alta",'Mapa final'!$AA$43="Leve"),CONCATENATE("R6C",'Mapa final'!$O$43),"")</f>
        <v/>
      </c>
      <c r="L21" s="68" t="str">
        <f>IF(AND('Mapa final'!$Y$44="Alta",'Mapa final'!$AA$44="Leve"),CONCATENATE("R6C",'Mapa final'!$O$44),"")</f>
        <v/>
      </c>
      <c r="M21" s="68" t="str">
        <f>IF(AND('Mapa final'!$Y$45="Alta",'Mapa final'!$AA$45="Leve"),CONCATENATE("R6C",'Mapa final'!$O$45),"")</f>
        <v/>
      </c>
      <c r="N21" s="68" t="str">
        <f>IF(AND('Mapa final'!$Y$46="Alta",'Mapa final'!$AA$46="Leve"),CONCATENATE("R6C",'Mapa final'!$O$46),"")</f>
        <v/>
      </c>
      <c r="O21" s="69" t="str">
        <f>IF(AND('Mapa final'!$Y$47="Alta",'Mapa final'!$AA$47="Leve"),CONCATENATE("R6C",'Mapa final'!$O$47),"")</f>
        <v/>
      </c>
      <c r="P21" s="67" t="str">
        <f>IF(AND('Mapa final'!$Y$42="Alta",'Mapa final'!$AA$42="Menor"),CONCATENATE("R6C",'Mapa final'!$O$42),"")</f>
        <v/>
      </c>
      <c r="Q21" s="68" t="str">
        <f>IF(AND('Mapa final'!$Y$43="Alta",'Mapa final'!$AA$43="Menor"),CONCATENATE("R6C",'Mapa final'!$O$43),"")</f>
        <v/>
      </c>
      <c r="R21" s="68" t="str">
        <f>IF(AND('Mapa final'!$Y$44="Alta",'Mapa final'!$AA$44="Menor"),CONCATENATE("R6C",'Mapa final'!$O$44),"")</f>
        <v/>
      </c>
      <c r="S21" s="68" t="str">
        <f>IF(AND('Mapa final'!$Y$45="Alta",'Mapa final'!$AA$45="Menor"),CONCATENATE("R6C",'Mapa final'!$O$45),"")</f>
        <v/>
      </c>
      <c r="T21" s="68" t="str">
        <f>IF(AND('Mapa final'!$Y$46="Alta",'Mapa final'!$AA$46="Menor"),CONCATENATE("R6C",'Mapa final'!$O$46),"")</f>
        <v/>
      </c>
      <c r="U21" s="69" t="str">
        <f>IF(AND('Mapa final'!$Y$47="Alta",'Mapa final'!$AA$47="Menor"),CONCATENATE("R6C",'Mapa final'!$O$47),"")</f>
        <v/>
      </c>
      <c r="V21" s="52" t="str">
        <f>IF(AND('Mapa final'!$Y$42="Alta",'Mapa final'!$AA$42="Moderado"),CONCATENATE("R6C",'Mapa final'!$O$42),"")</f>
        <v/>
      </c>
      <c r="W21" s="53" t="str">
        <f>IF(AND('Mapa final'!$Y$43="Alta",'Mapa final'!$AA$43="Moderado"),CONCATENATE("R6C",'Mapa final'!$O$43),"")</f>
        <v/>
      </c>
      <c r="X21" s="53" t="str">
        <f>IF(AND('Mapa final'!$Y$44="Alta",'Mapa final'!$AA$44="Moderado"),CONCATENATE("R6C",'Mapa final'!$O$44),"")</f>
        <v/>
      </c>
      <c r="Y21" s="53" t="str">
        <f>IF(AND('Mapa final'!$Y$45="Alta",'Mapa final'!$AA$45="Moderado"),CONCATENATE("R6C",'Mapa final'!$O$45),"")</f>
        <v/>
      </c>
      <c r="Z21" s="53" t="str">
        <f>IF(AND('Mapa final'!$Y$46="Alta",'Mapa final'!$AA$46="Moderado"),CONCATENATE("R6C",'Mapa final'!$O$46),"")</f>
        <v/>
      </c>
      <c r="AA21" s="54" t="str">
        <f>IF(AND('Mapa final'!$Y$47="Alta",'Mapa final'!$AA$47="Moderado"),CONCATENATE("R6C",'Mapa final'!$O$47),"")</f>
        <v/>
      </c>
      <c r="AB21" s="52" t="str">
        <f>IF(AND('Mapa final'!$Y$42="Alta",'Mapa final'!$AA$42="Mayor"),CONCATENATE("R6C",'Mapa final'!$O$42),"")</f>
        <v/>
      </c>
      <c r="AC21" s="53" t="str">
        <f>IF(AND('Mapa final'!$Y$43="Alta",'Mapa final'!$AA$43="Mayor"),CONCATENATE("R6C",'Mapa final'!$O$43),"")</f>
        <v/>
      </c>
      <c r="AD21" s="53" t="str">
        <f>IF(AND('Mapa final'!$Y$44="Alta",'Mapa final'!$AA$44="Mayor"),CONCATENATE("R6C",'Mapa final'!$O$44),"")</f>
        <v/>
      </c>
      <c r="AE21" s="53" t="str">
        <f>IF(AND('Mapa final'!$Y$45="Alta",'Mapa final'!$AA$45="Mayor"),CONCATENATE("R6C",'Mapa final'!$O$45),"")</f>
        <v/>
      </c>
      <c r="AF21" s="53" t="str">
        <f>IF(AND('Mapa final'!$Y$46="Alta",'Mapa final'!$AA$46="Mayor"),CONCATENATE("R6C",'Mapa final'!$O$46),"")</f>
        <v/>
      </c>
      <c r="AG21" s="54" t="str">
        <f>IF(AND('Mapa final'!$Y$47="Alta",'Mapa final'!$AA$47="Mayor"),CONCATENATE("R6C",'Mapa final'!$O$47),"")</f>
        <v/>
      </c>
      <c r="AH21" s="55" t="str">
        <f>IF(AND('Mapa final'!$Y$42="Alta",'Mapa final'!$AA$42="Catastrófico"),CONCATENATE("R6C",'Mapa final'!$O$42),"")</f>
        <v/>
      </c>
      <c r="AI21" s="56" t="str">
        <f>IF(AND('Mapa final'!$Y$43="Alta",'Mapa final'!$AA$43="Catastrófico"),CONCATENATE("R6C",'Mapa final'!$O$43),"")</f>
        <v/>
      </c>
      <c r="AJ21" s="56" t="str">
        <f>IF(AND('Mapa final'!$Y$44="Alta",'Mapa final'!$AA$44="Catastrófico"),CONCATENATE("R6C",'Mapa final'!$O$44),"")</f>
        <v/>
      </c>
      <c r="AK21" s="56" t="str">
        <f>IF(AND('Mapa final'!$Y$45="Alta",'Mapa final'!$AA$45="Catastrófico"),CONCATENATE("R6C",'Mapa final'!$O$45),"")</f>
        <v/>
      </c>
      <c r="AL21" s="56" t="str">
        <f>IF(AND('Mapa final'!$Y$46="Alta",'Mapa final'!$AA$46="Catastrófico"),CONCATENATE("R6C",'Mapa final'!$O$46),"")</f>
        <v/>
      </c>
      <c r="AM21" s="57" t="str">
        <f>IF(AND('Mapa final'!$Y$47="Alta",'Mapa final'!$AA$47="Catastrófico"),CONCATENATE("R6C",'Mapa final'!$O$47),"")</f>
        <v/>
      </c>
      <c r="AN21" s="83"/>
      <c r="AO21" s="446"/>
      <c r="AP21" s="447"/>
      <c r="AQ21" s="447"/>
      <c r="AR21" s="447"/>
      <c r="AS21" s="447"/>
      <c r="AT21" s="44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395"/>
      <c r="C22" s="395"/>
      <c r="D22" s="396"/>
      <c r="E22" s="436"/>
      <c r="F22" s="437"/>
      <c r="G22" s="437"/>
      <c r="H22" s="437"/>
      <c r="I22" s="437"/>
      <c r="J22" s="67" t="str">
        <f>IF(AND('Mapa final'!$Y$48="Alta",'Mapa final'!$AA$48="Leve"),CONCATENATE("R7C",'Mapa final'!$O$48),"")</f>
        <v/>
      </c>
      <c r="K22" s="68" t="str">
        <f>IF(AND('Mapa final'!$Y$49="Alta",'Mapa final'!$AA$49="Leve"),CONCATENATE("R7C",'Mapa final'!$O$49),"")</f>
        <v/>
      </c>
      <c r="L22" s="68" t="e">
        <f>IF(AND('Mapa final'!#REF!="Alta",'Mapa final'!#REF!="Leve"),CONCATENATE("R7C",'Mapa final'!#REF!),"")</f>
        <v>#REF!</v>
      </c>
      <c r="M22" s="68" t="e">
        <f>IF(AND('Mapa final'!#REF!="Alta",'Mapa final'!#REF!="Leve"),CONCATENATE("R7C",'Mapa final'!#REF!),"")</f>
        <v>#REF!</v>
      </c>
      <c r="N22" s="68" t="e">
        <f>IF(AND('Mapa final'!#REF!="Alta",'Mapa final'!#REF!="Leve"),CONCATENATE("R7C",'Mapa final'!#REF!),"")</f>
        <v>#REF!</v>
      </c>
      <c r="O22" s="69" t="e">
        <f>IF(AND('Mapa final'!#REF!="Alta",'Mapa final'!#REF!="Leve"),CONCATENATE("R7C",'Mapa final'!#REF!),"")</f>
        <v>#REF!</v>
      </c>
      <c r="P22" s="67" t="str">
        <f>IF(AND('Mapa final'!$Y$48="Alta",'Mapa final'!$AA$48="Menor"),CONCATENATE("R7C",'Mapa final'!$O$48),"")</f>
        <v/>
      </c>
      <c r="Q22" s="68" t="str">
        <f>IF(AND('Mapa final'!$Y$49="Alta",'Mapa final'!$AA$49="Menor"),CONCATENATE("R7C",'Mapa final'!$O$49),"")</f>
        <v/>
      </c>
      <c r="R22" s="68" t="e">
        <f>IF(AND('Mapa final'!#REF!="Alta",'Mapa final'!#REF!="Menor"),CONCATENATE("R7C",'Mapa final'!#REF!),"")</f>
        <v>#REF!</v>
      </c>
      <c r="S22" s="68" t="e">
        <f>IF(AND('Mapa final'!#REF!="Alta",'Mapa final'!#REF!="Menor"),CONCATENATE("R7C",'Mapa final'!#REF!),"")</f>
        <v>#REF!</v>
      </c>
      <c r="T22" s="68" t="e">
        <f>IF(AND('Mapa final'!#REF!="Alta",'Mapa final'!#REF!="Menor"),CONCATENATE("R7C",'Mapa final'!#REF!),"")</f>
        <v>#REF!</v>
      </c>
      <c r="U22" s="69" t="e">
        <f>IF(AND('Mapa final'!#REF!="Alta",'Mapa final'!#REF!="Menor"),CONCATENATE("R7C",'Mapa final'!#REF!),"")</f>
        <v>#REF!</v>
      </c>
      <c r="V22" s="52" t="str">
        <f>IF(AND('Mapa final'!$Y$48="Alta",'Mapa final'!$AA$48="Moderado"),CONCATENATE("R7C",'Mapa final'!$O$48),"")</f>
        <v/>
      </c>
      <c r="W22" s="53" t="str">
        <f>IF(AND('Mapa final'!$Y$49="Alta",'Mapa final'!$AA$49="Moderado"),CONCATENATE("R7C",'Mapa final'!$O$49),"")</f>
        <v/>
      </c>
      <c r="X22" s="53" t="e">
        <f>IF(AND('Mapa final'!#REF!="Alta",'Mapa final'!#REF!="Moderado"),CONCATENATE("R7C",'Mapa final'!#REF!),"")</f>
        <v>#REF!</v>
      </c>
      <c r="Y22" s="53" t="e">
        <f>IF(AND('Mapa final'!#REF!="Alta",'Mapa final'!#REF!="Moderado"),CONCATENATE("R7C",'Mapa final'!#REF!),"")</f>
        <v>#REF!</v>
      </c>
      <c r="Z22" s="53" t="e">
        <f>IF(AND('Mapa final'!#REF!="Alta",'Mapa final'!#REF!="Moderado"),CONCATENATE("R7C",'Mapa final'!#REF!),"")</f>
        <v>#REF!</v>
      </c>
      <c r="AA22" s="54" t="e">
        <f>IF(AND('Mapa final'!#REF!="Alta",'Mapa final'!#REF!="Moderado"),CONCATENATE("R7C",'Mapa final'!#REF!),"")</f>
        <v>#REF!</v>
      </c>
      <c r="AB22" s="52" t="str">
        <f>IF(AND('Mapa final'!$Y$48="Alta",'Mapa final'!$AA$48="Mayor"),CONCATENATE("R7C",'Mapa final'!$O$48),"")</f>
        <v/>
      </c>
      <c r="AC22" s="53" t="str">
        <f>IF(AND('Mapa final'!$Y$49="Alta",'Mapa final'!$AA$49="Mayor"),CONCATENATE("R7C",'Mapa final'!$O$49),"")</f>
        <v/>
      </c>
      <c r="AD22" s="53" t="e">
        <f>IF(AND('Mapa final'!#REF!="Alta",'Mapa final'!#REF!="Mayor"),CONCATENATE("R7C",'Mapa final'!#REF!),"")</f>
        <v>#REF!</v>
      </c>
      <c r="AE22" s="53" t="e">
        <f>IF(AND('Mapa final'!#REF!="Alta",'Mapa final'!#REF!="Mayor"),CONCATENATE("R7C",'Mapa final'!#REF!),"")</f>
        <v>#REF!</v>
      </c>
      <c r="AF22" s="53" t="e">
        <f>IF(AND('Mapa final'!#REF!="Alta",'Mapa final'!#REF!="Mayor"),CONCATENATE("R7C",'Mapa final'!#REF!),"")</f>
        <v>#REF!</v>
      </c>
      <c r="AG22" s="54" t="e">
        <f>IF(AND('Mapa final'!#REF!="Alta",'Mapa final'!#REF!="Mayor"),CONCATENATE("R7C",'Mapa final'!#REF!),"")</f>
        <v>#REF!</v>
      </c>
      <c r="AH22" s="55" t="str">
        <f>IF(AND('Mapa final'!$Y$48="Alta",'Mapa final'!$AA$48="Catastrófico"),CONCATENATE("R7C",'Mapa final'!$O$48),"")</f>
        <v/>
      </c>
      <c r="AI22" s="56" t="str">
        <f>IF(AND('Mapa final'!$Y$49="Alta",'Mapa final'!$AA$49="Catastrófico"),CONCATENATE("R7C",'Mapa final'!$O$49),"")</f>
        <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3"/>
      <c r="AO22" s="446"/>
      <c r="AP22" s="447"/>
      <c r="AQ22" s="447"/>
      <c r="AR22" s="447"/>
      <c r="AS22" s="447"/>
      <c r="AT22" s="44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395"/>
      <c r="C23" s="395"/>
      <c r="D23" s="396"/>
      <c r="E23" s="436"/>
      <c r="F23" s="437"/>
      <c r="G23" s="437"/>
      <c r="H23" s="437"/>
      <c r="I23" s="437"/>
      <c r="J23" s="67" t="str">
        <f>IF(AND('Mapa final'!$Y$50="Alta",'Mapa final'!$AA$50="Leve"),CONCATENATE("R8C",'Mapa final'!$O$50),"")</f>
        <v/>
      </c>
      <c r="K23" s="68" t="str">
        <f>IF(AND('Mapa final'!$Y$51="Alta",'Mapa final'!$AA$51="Leve"),CONCATENATE("R8C",'Mapa final'!$O$51),"")</f>
        <v/>
      </c>
      <c r="L23" s="68" t="str">
        <f>IF(AND('Mapa final'!$Y$52="Alta",'Mapa final'!$AA$52="Leve"),CONCATENATE("R8C",'Mapa final'!$O$52),"")</f>
        <v/>
      </c>
      <c r="M23" s="68" t="str">
        <f>IF(AND('Mapa final'!$Y$53="Alta",'Mapa final'!$AA$53="Leve"),CONCATENATE("R8C",'Mapa final'!$O$53),"")</f>
        <v/>
      </c>
      <c r="N23" s="68" t="str">
        <f>IF(AND('Mapa final'!$Y$54="Alta",'Mapa final'!$AA$54="Leve"),CONCATENATE("R8C",'Mapa final'!$O$54),"")</f>
        <v/>
      </c>
      <c r="O23" s="69" t="str">
        <f>IF(AND('Mapa final'!$Y$55="Alta",'Mapa final'!$AA$55="Leve"),CONCATENATE("R8C",'Mapa final'!$O$55),"")</f>
        <v/>
      </c>
      <c r="P23" s="67" t="str">
        <f>IF(AND('Mapa final'!$Y$50="Alta",'Mapa final'!$AA$50="Menor"),CONCATENATE("R8C",'Mapa final'!$O$50),"")</f>
        <v/>
      </c>
      <c r="Q23" s="68" t="str">
        <f>IF(AND('Mapa final'!$Y$51="Alta",'Mapa final'!$AA$51="Menor"),CONCATENATE("R8C",'Mapa final'!$O$51),"")</f>
        <v/>
      </c>
      <c r="R23" s="68" t="str">
        <f>IF(AND('Mapa final'!$Y$52="Alta",'Mapa final'!$AA$52="Menor"),CONCATENATE("R8C",'Mapa final'!$O$52),"")</f>
        <v/>
      </c>
      <c r="S23" s="68" t="str">
        <f>IF(AND('Mapa final'!$Y$53="Alta",'Mapa final'!$AA$53="Menor"),CONCATENATE("R8C",'Mapa final'!$O$53),"")</f>
        <v/>
      </c>
      <c r="T23" s="68" t="str">
        <f>IF(AND('Mapa final'!$Y$54="Alta",'Mapa final'!$AA$54="Menor"),CONCATENATE("R8C",'Mapa final'!$O$54),"")</f>
        <v/>
      </c>
      <c r="U23" s="69" t="str">
        <f>IF(AND('Mapa final'!$Y$55="Alta",'Mapa final'!$AA$55="Menor"),CONCATENATE("R8C",'Mapa final'!$O$55),"")</f>
        <v/>
      </c>
      <c r="V23" s="52" t="str">
        <f>IF(AND('Mapa final'!$Y$50="Alta",'Mapa final'!$AA$50="Moderado"),CONCATENATE("R8C",'Mapa final'!$O$50),"")</f>
        <v/>
      </c>
      <c r="W23" s="53" t="str">
        <f>IF(AND('Mapa final'!$Y$51="Alta",'Mapa final'!$AA$51="Moderado"),CONCATENATE("R8C",'Mapa final'!$O$51),"")</f>
        <v/>
      </c>
      <c r="X23" s="53" t="str">
        <f>IF(AND('Mapa final'!$Y$52="Alta",'Mapa final'!$AA$52="Moderado"),CONCATENATE("R8C",'Mapa final'!$O$52),"")</f>
        <v/>
      </c>
      <c r="Y23" s="53" t="str">
        <f>IF(AND('Mapa final'!$Y$53="Alta",'Mapa final'!$AA$53="Moderado"),CONCATENATE("R8C",'Mapa final'!$O$53),"")</f>
        <v/>
      </c>
      <c r="Z23" s="53" t="str">
        <f>IF(AND('Mapa final'!$Y$54="Alta",'Mapa final'!$AA$54="Moderado"),CONCATENATE("R8C",'Mapa final'!$O$54),"")</f>
        <v/>
      </c>
      <c r="AA23" s="54" t="str">
        <f>IF(AND('Mapa final'!$Y$55="Alta",'Mapa final'!$AA$55="Moderado"),CONCATENATE("R8C",'Mapa final'!$O$55),"")</f>
        <v/>
      </c>
      <c r="AB23" s="52" t="str">
        <f>IF(AND('Mapa final'!$Y$50="Alta",'Mapa final'!$AA$50="Mayor"),CONCATENATE("R8C",'Mapa final'!$O$50),"")</f>
        <v/>
      </c>
      <c r="AC23" s="53" t="str">
        <f>IF(AND('Mapa final'!$Y$51="Alta",'Mapa final'!$AA$51="Mayor"),CONCATENATE("R8C",'Mapa final'!$O$51),"")</f>
        <v/>
      </c>
      <c r="AD23" s="53" t="str">
        <f>IF(AND('Mapa final'!$Y$52="Alta",'Mapa final'!$AA$52="Mayor"),CONCATENATE("R8C",'Mapa final'!$O$52),"")</f>
        <v/>
      </c>
      <c r="AE23" s="53" t="str">
        <f>IF(AND('Mapa final'!$Y$53="Alta",'Mapa final'!$AA$53="Mayor"),CONCATENATE("R8C",'Mapa final'!$O$53),"")</f>
        <v/>
      </c>
      <c r="AF23" s="53" t="str">
        <f>IF(AND('Mapa final'!$Y$54="Alta",'Mapa final'!$AA$54="Mayor"),CONCATENATE("R8C",'Mapa final'!$O$54),"")</f>
        <v/>
      </c>
      <c r="AG23" s="54" t="str">
        <f>IF(AND('Mapa final'!$Y$55="Alta",'Mapa final'!$AA$55="Mayor"),CONCATENATE("R8C",'Mapa final'!$O$55),"")</f>
        <v/>
      </c>
      <c r="AH23" s="55" t="str">
        <f>IF(AND('Mapa final'!$Y$50="Alta",'Mapa final'!$AA$50="Catastrófico"),CONCATENATE("R8C",'Mapa final'!$O$50),"")</f>
        <v/>
      </c>
      <c r="AI23" s="56" t="str">
        <f>IF(AND('Mapa final'!$Y$51="Alta",'Mapa final'!$AA$51="Catastrófico"),CONCATENATE("R8C",'Mapa final'!$O$51),"")</f>
        <v/>
      </c>
      <c r="AJ23" s="56" t="str">
        <f>IF(AND('Mapa final'!$Y$52="Alta",'Mapa final'!$AA$52="Catastrófico"),CONCATENATE("R8C",'Mapa final'!$O$52),"")</f>
        <v/>
      </c>
      <c r="AK23" s="56" t="str">
        <f>IF(AND('Mapa final'!$Y$53="Alta",'Mapa final'!$AA$53="Catastrófico"),CONCATENATE("R8C",'Mapa final'!$O$53),"")</f>
        <v/>
      </c>
      <c r="AL23" s="56" t="str">
        <f>IF(AND('Mapa final'!$Y$54="Alta",'Mapa final'!$AA$54="Catastrófico"),CONCATENATE("R8C",'Mapa final'!$O$54),"")</f>
        <v/>
      </c>
      <c r="AM23" s="57" t="str">
        <f>IF(AND('Mapa final'!$Y$55="Alta",'Mapa final'!$AA$55="Catastrófico"),CONCATENATE("R8C",'Mapa final'!$O$55),"")</f>
        <v/>
      </c>
      <c r="AN23" s="83"/>
      <c r="AO23" s="446"/>
      <c r="AP23" s="447"/>
      <c r="AQ23" s="447"/>
      <c r="AR23" s="447"/>
      <c r="AS23" s="447"/>
      <c r="AT23" s="44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395"/>
      <c r="C24" s="395"/>
      <c r="D24" s="396"/>
      <c r="E24" s="436"/>
      <c r="F24" s="437"/>
      <c r="G24" s="437"/>
      <c r="H24" s="437"/>
      <c r="I24" s="437"/>
      <c r="J24" s="67" t="str">
        <f>IF(AND('Mapa final'!$Y$56="Alta",'Mapa final'!$AA$56="Leve"),CONCATENATE("R9C",'Mapa final'!$O$56),"")</f>
        <v/>
      </c>
      <c r="K24" s="68" t="str">
        <f>IF(AND('Mapa final'!$Y$57="Alta",'Mapa final'!$AA$57="Leve"),CONCATENATE("R9C",'Mapa final'!$O$57),"")</f>
        <v/>
      </c>
      <c r="L24" s="68" t="str">
        <f>IF(AND('Mapa final'!$Y$58="Alta",'Mapa final'!$AA$58="Leve"),CONCATENATE("R9C",'Mapa final'!$O$58),"")</f>
        <v/>
      </c>
      <c r="M24" s="68" t="str">
        <f>IF(AND('Mapa final'!$Y$59="Alta",'Mapa final'!$AA$59="Leve"),CONCATENATE("R9C",'Mapa final'!$O$59),"")</f>
        <v/>
      </c>
      <c r="N24" s="68" t="str">
        <f>IF(AND('Mapa final'!$Y$60="Alta",'Mapa final'!$AA$60="Leve"),CONCATENATE("R9C",'Mapa final'!$O$60),"")</f>
        <v/>
      </c>
      <c r="O24" s="69" t="str">
        <f>IF(AND('Mapa final'!$Y$61="Alta",'Mapa final'!$AA$61="Leve"),CONCATENATE("R9C",'Mapa final'!$O$61),"")</f>
        <v/>
      </c>
      <c r="P24" s="67" t="str">
        <f>IF(AND('Mapa final'!$Y$56="Alta",'Mapa final'!$AA$56="Menor"),CONCATENATE("R9C",'Mapa final'!$O$56),"")</f>
        <v/>
      </c>
      <c r="Q24" s="68" t="str">
        <f>IF(AND('Mapa final'!$Y$57="Alta",'Mapa final'!$AA$57="Menor"),CONCATENATE("R9C",'Mapa final'!$O$57),"")</f>
        <v/>
      </c>
      <c r="R24" s="68" t="str">
        <f>IF(AND('Mapa final'!$Y$58="Alta",'Mapa final'!$AA$58="Menor"),CONCATENATE("R9C",'Mapa final'!$O$58),"")</f>
        <v/>
      </c>
      <c r="S24" s="68" t="str">
        <f>IF(AND('Mapa final'!$Y$59="Alta",'Mapa final'!$AA$59="Menor"),CONCATENATE("R9C",'Mapa final'!$O$59),"")</f>
        <v/>
      </c>
      <c r="T24" s="68" t="str">
        <f>IF(AND('Mapa final'!$Y$60="Alta",'Mapa final'!$AA$60="Menor"),CONCATENATE("R9C",'Mapa final'!$O$60),"")</f>
        <v/>
      </c>
      <c r="U24" s="69" t="str">
        <f>IF(AND('Mapa final'!$Y$61="Alta",'Mapa final'!$AA$61="Menor"),CONCATENATE("R9C",'Mapa final'!$O$61),"")</f>
        <v/>
      </c>
      <c r="V24" s="52" t="str">
        <f>IF(AND('Mapa final'!$Y$56="Alta",'Mapa final'!$AA$56="Moderado"),CONCATENATE("R9C",'Mapa final'!$O$56),"")</f>
        <v/>
      </c>
      <c r="W24" s="53" t="str">
        <f>IF(AND('Mapa final'!$Y$57="Alta",'Mapa final'!$AA$57="Moderado"),CONCATENATE("R9C",'Mapa final'!$O$57),"")</f>
        <v/>
      </c>
      <c r="X24" s="53" t="str">
        <f>IF(AND('Mapa final'!$Y$58="Alta",'Mapa final'!$AA$58="Moderado"),CONCATENATE("R9C",'Mapa final'!$O$58),"")</f>
        <v/>
      </c>
      <c r="Y24" s="53" t="str">
        <f>IF(AND('Mapa final'!$Y$59="Alta",'Mapa final'!$AA$59="Moderado"),CONCATENATE("R9C",'Mapa final'!$O$59),"")</f>
        <v/>
      </c>
      <c r="Z24" s="53" t="str">
        <f>IF(AND('Mapa final'!$Y$60="Alta",'Mapa final'!$AA$60="Moderado"),CONCATENATE("R9C",'Mapa final'!$O$60),"")</f>
        <v/>
      </c>
      <c r="AA24" s="54" t="str">
        <f>IF(AND('Mapa final'!$Y$61="Alta",'Mapa final'!$AA$61="Moderado"),CONCATENATE("R9C",'Mapa final'!$O$61),"")</f>
        <v/>
      </c>
      <c r="AB24" s="52" t="str">
        <f>IF(AND('Mapa final'!$Y$56="Alta",'Mapa final'!$AA$56="Mayor"),CONCATENATE("R9C",'Mapa final'!$O$56),"")</f>
        <v/>
      </c>
      <c r="AC24" s="53" t="str">
        <f>IF(AND('Mapa final'!$Y$57="Alta",'Mapa final'!$AA$57="Mayor"),CONCATENATE("R9C",'Mapa final'!$O$57),"")</f>
        <v/>
      </c>
      <c r="AD24" s="53" t="str">
        <f>IF(AND('Mapa final'!$Y$58="Alta",'Mapa final'!$AA$58="Mayor"),CONCATENATE("R9C",'Mapa final'!$O$58),"")</f>
        <v/>
      </c>
      <c r="AE24" s="53" t="str">
        <f>IF(AND('Mapa final'!$Y$59="Alta",'Mapa final'!$AA$59="Mayor"),CONCATENATE("R9C",'Mapa final'!$O$59),"")</f>
        <v/>
      </c>
      <c r="AF24" s="53" t="str">
        <f>IF(AND('Mapa final'!$Y$60="Alta",'Mapa final'!$AA$60="Mayor"),CONCATENATE("R9C",'Mapa final'!$O$60),"")</f>
        <v/>
      </c>
      <c r="AG24" s="54" t="str">
        <f>IF(AND('Mapa final'!$Y$61="Alta",'Mapa final'!$AA$61="Mayor"),CONCATENATE("R9C",'Mapa final'!$O$61),"")</f>
        <v/>
      </c>
      <c r="AH24" s="55" t="str">
        <f>IF(AND('Mapa final'!$Y$56="Alta",'Mapa final'!$AA$56="Catastrófico"),CONCATENATE("R9C",'Mapa final'!$O$56),"")</f>
        <v/>
      </c>
      <c r="AI24" s="56" t="str">
        <f>IF(AND('Mapa final'!$Y$57="Alta",'Mapa final'!$AA$57="Catastrófico"),CONCATENATE("R9C",'Mapa final'!$O$57),"")</f>
        <v/>
      </c>
      <c r="AJ24" s="56" t="str">
        <f>IF(AND('Mapa final'!$Y$58="Alta",'Mapa final'!$AA$58="Catastrófico"),CONCATENATE("R9C",'Mapa final'!$O$58),"")</f>
        <v/>
      </c>
      <c r="AK24" s="56" t="str">
        <f>IF(AND('Mapa final'!$Y$59="Alta",'Mapa final'!$AA$59="Catastrófico"),CONCATENATE("R9C",'Mapa final'!$O$59),"")</f>
        <v/>
      </c>
      <c r="AL24" s="56" t="str">
        <f>IF(AND('Mapa final'!$Y$60="Alta",'Mapa final'!$AA$60="Catastrófico"),CONCATENATE("R9C",'Mapa final'!$O$60),"")</f>
        <v/>
      </c>
      <c r="AM24" s="57" t="str">
        <f>IF(AND('Mapa final'!$Y$61="Alta",'Mapa final'!$AA$61="Catastrófico"),CONCATENATE("R9C",'Mapa final'!$O$61),"")</f>
        <v/>
      </c>
      <c r="AN24" s="83"/>
      <c r="AO24" s="446"/>
      <c r="AP24" s="447"/>
      <c r="AQ24" s="447"/>
      <c r="AR24" s="447"/>
      <c r="AS24" s="447"/>
      <c r="AT24" s="44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395"/>
      <c r="C25" s="395"/>
      <c r="D25" s="396"/>
      <c r="E25" s="439"/>
      <c r="F25" s="440"/>
      <c r="G25" s="440"/>
      <c r="H25" s="440"/>
      <c r="I25" s="440"/>
      <c r="J25" s="70" t="str">
        <f>IF(AND('Mapa final'!$Y$62="Alta",'Mapa final'!$AA$62="Leve"),CONCATENATE("R10C",'Mapa final'!$O$62),"")</f>
        <v/>
      </c>
      <c r="K25" s="71" t="str">
        <f>IF(AND('Mapa final'!$Y$63="Alta",'Mapa final'!$AA$63="Leve"),CONCATENATE("R10C",'Mapa final'!$O$63),"")</f>
        <v/>
      </c>
      <c r="L25" s="71" t="str">
        <f>IF(AND('Mapa final'!$Y$64="Alta",'Mapa final'!$AA$64="Leve"),CONCATENATE("R10C",'Mapa final'!$O$64),"")</f>
        <v/>
      </c>
      <c r="M25" s="71" t="str">
        <f>IF(AND('Mapa final'!$Y$65="Alta",'Mapa final'!$AA$65="Leve"),CONCATENATE("R10C",'Mapa final'!$O$65),"")</f>
        <v/>
      </c>
      <c r="N25" s="71" t="str">
        <f>IF(AND('Mapa final'!$Y$66="Alta",'Mapa final'!$AA$66="Leve"),CONCATENATE("R10C",'Mapa final'!$O$66),"")</f>
        <v/>
      </c>
      <c r="O25" s="72" t="str">
        <f>IF(AND('Mapa final'!$Y$67="Alta",'Mapa final'!$AA$67="Leve"),CONCATENATE("R10C",'Mapa final'!$O$67),"")</f>
        <v/>
      </c>
      <c r="P25" s="70" t="str">
        <f>IF(AND('Mapa final'!$Y$62="Alta",'Mapa final'!$AA$62="Menor"),CONCATENATE("R10C",'Mapa final'!$O$62),"")</f>
        <v/>
      </c>
      <c r="Q25" s="71" t="str">
        <f>IF(AND('Mapa final'!$Y$63="Alta",'Mapa final'!$AA$63="Menor"),CONCATENATE("R10C",'Mapa final'!$O$63),"")</f>
        <v/>
      </c>
      <c r="R25" s="71" t="str">
        <f>IF(AND('Mapa final'!$Y$64="Alta",'Mapa final'!$AA$64="Menor"),CONCATENATE("R10C",'Mapa final'!$O$64),"")</f>
        <v/>
      </c>
      <c r="S25" s="71" t="str">
        <f>IF(AND('Mapa final'!$Y$65="Alta",'Mapa final'!$AA$65="Menor"),CONCATENATE("R10C",'Mapa final'!$O$65),"")</f>
        <v/>
      </c>
      <c r="T25" s="71" t="str">
        <f>IF(AND('Mapa final'!$Y$66="Alta",'Mapa final'!$AA$66="Menor"),CONCATENATE("R10C",'Mapa final'!$O$66),"")</f>
        <v/>
      </c>
      <c r="U25" s="72" t="str">
        <f>IF(AND('Mapa final'!$Y$67="Alta",'Mapa final'!$AA$67="Menor"),CONCATENATE("R10C",'Mapa final'!$O$67),"")</f>
        <v/>
      </c>
      <c r="V25" s="58" t="str">
        <f>IF(AND('Mapa final'!$Y$62="Alta",'Mapa final'!$AA$62="Moderado"),CONCATENATE("R10C",'Mapa final'!$O$62),"")</f>
        <v/>
      </c>
      <c r="W25" s="59" t="str">
        <f>IF(AND('Mapa final'!$Y$63="Alta",'Mapa final'!$AA$63="Moderado"),CONCATENATE("R10C",'Mapa final'!$O$63),"")</f>
        <v/>
      </c>
      <c r="X25" s="59" t="str">
        <f>IF(AND('Mapa final'!$Y$64="Alta",'Mapa final'!$AA$64="Moderado"),CONCATENATE("R10C",'Mapa final'!$O$64),"")</f>
        <v/>
      </c>
      <c r="Y25" s="59" t="str">
        <f>IF(AND('Mapa final'!$Y$65="Alta",'Mapa final'!$AA$65="Moderado"),CONCATENATE("R10C",'Mapa final'!$O$65),"")</f>
        <v/>
      </c>
      <c r="Z25" s="59" t="str">
        <f>IF(AND('Mapa final'!$Y$66="Alta",'Mapa final'!$AA$66="Moderado"),CONCATENATE("R10C",'Mapa final'!$O$66),"")</f>
        <v/>
      </c>
      <c r="AA25" s="60" t="str">
        <f>IF(AND('Mapa final'!$Y$67="Alta",'Mapa final'!$AA$67="Moderado"),CONCATENATE("R10C",'Mapa final'!$O$67),"")</f>
        <v/>
      </c>
      <c r="AB25" s="58" t="str">
        <f>IF(AND('Mapa final'!$Y$62="Alta",'Mapa final'!$AA$62="Mayor"),CONCATENATE("R10C",'Mapa final'!$O$62),"")</f>
        <v/>
      </c>
      <c r="AC25" s="59" t="str">
        <f>IF(AND('Mapa final'!$Y$63="Alta",'Mapa final'!$AA$63="Mayor"),CONCATENATE("R10C",'Mapa final'!$O$63),"")</f>
        <v/>
      </c>
      <c r="AD25" s="59" t="str">
        <f>IF(AND('Mapa final'!$Y$64="Alta",'Mapa final'!$AA$64="Mayor"),CONCATENATE("R10C",'Mapa final'!$O$64),"")</f>
        <v/>
      </c>
      <c r="AE25" s="59" t="str">
        <f>IF(AND('Mapa final'!$Y$65="Alta",'Mapa final'!$AA$65="Mayor"),CONCATENATE("R10C",'Mapa final'!$O$65),"")</f>
        <v/>
      </c>
      <c r="AF25" s="59" t="str">
        <f>IF(AND('Mapa final'!$Y$66="Alta",'Mapa final'!$AA$66="Mayor"),CONCATENATE("R10C",'Mapa final'!$O$66),"")</f>
        <v/>
      </c>
      <c r="AG25" s="60" t="str">
        <f>IF(AND('Mapa final'!$Y$67="Alta",'Mapa final'!$AA$67="Mayor"),CONCATENATE("R10C",'Mapa final'!$O$67),"")</f>
        <v/>
      </c>
      <c r="AH25" s="61" t="str">
        <f>IF(AND('Mapa final'!$Y$62="Alta",'Mapa final'!$AA$62="Catastrófico"),CONCATENATE("R10C",'Mapa final'!$O$62),"")</f>
        <v/>
      </c>
      <c r="AI25" s="62" t="str">
        <f>IF(AND('Mapa final'!$Y$63="Alta",'Mapa final'!$AA$63="Catastrófico"),CONCATENATE("R10C",'Mapa final'!$O$63),"")</f>
        <v/>
      </c>
      <c r="AJ25" s="62" t="str">
        <f>IF(AND('Mapa final'!$Y$64="Alta",'Mapa final'!$AA$64="Catastrófico"),CONCATENATE("R10C",'Mapa final'!$O$64),"")</f>
        <v/>
      </c>
      <c r="AK25" s="62" t="str">
        <f>IF(AND('Mapa final'!$Y$65="Alta",'Mapa final'!$AA$65="Catastrófico"),CONCATENATE("R10C",'Mapa final'!$O$65),"")</f>
        <v/>
      </c>
      <c r="AL25" s="62" t="str">
        <f>IF(AND('Mapa final'!$Y$66="Alta",'Mapa final'!$AA$66="Catastrófico"),CONCATENATE("R10C",'Mapa final'!$O$66),"")</f>
        <v/>
      </c>
      <c r="AM25" s="63" t="str">
        <f>IF(AND('Mapa final'!$Y$67="Alta",'Mapa final'!$AA$67="Catastrófico"),CONCATENATE("R10C",'Mapa final'!$O$67),"")</f>
        <v/>
      </c>
      <c r="AN25" s="83"/>
      <c r="AO25" s="449"/>
      <c r="AP25" s="450"/>
      <c r="AQ25" s="450"/>
      <c r="AR25" s="450"/>
      <c r="AS25" s="450"/>
      <c r="AT25" s="45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395"/>
      <c r="C26" s="395"/>
      <c r="D26" s="396"/>
      <c r="E26" s="433" t="s">
        <v>96</v>
      </c>
      <c r="F26" s="434"/>
      <c r="G26" s="434"/>
      <c r="H26" s="434"/>
      <c r="I26" s="435"/>
      <c r="J26" s="64" t="str">
        <f>IF(AND('Mapa final'!$Y$24="Media",'Mapa final'!$AA$24="Leve"),CONCATENATE("R1C",'Mapa final'!$O$24),"")</f>
        <v/>
      </c>
      <c r="K26" s="65" t="str">
        <f>IF(AND('Mapa final'!$Y$25="Media",'Mapa final'!$AA$25="Leve"),CONCATENATE("R1C",'Mapa final'!$O$25),"")</f>
        <v/>
      </c>
      <c r="L26" s="65" t="e">
        <f>IF(AND('Mapa final'!#REF!="Media",'Mapa final'!#REF!="Leve"),CONCATENATE("R1C",'Mapa final'!#REF!),"")</f>
        <v>#REF!</v>
      </c>
      <c r="M26" s="65" t="e">
        <f>IF(AND('Mapa final'!#REF!="Media",'Mapa final'!#REF!="Leve"),CONCATENATE("R1C",'Mapa final'!#REF!),"")</f>
        <v>#REF!</v>
      </c>
      <c r="N26" s="65" t="e">
        <f>IF(AND('Mapa final'!#REF!="Media",'Mapa final'!#REF!="Leve"),CONCATENATE("R1C",'Mapa final'!#REF!),"")</f>
        <v>#REF!</v>
      </c>
      <c r="O26" s="66" t="e">
        <f>IF(AND('Mapa final'!#REF!="Media",'Mapa final'!#REF!="Leve"),CONCATENATE("R1C",'Mapa final'!#REF!),"")</f>
        <v>#REF!</v>
      </c>
      <c r="P26" s="64" t="str">
        <f>IF(AND('Mapa final'!$Y$24="Media",'Mapa final'!$AA$24="Menor"),CONCATENATE("R1C",'Mapa final'!$O$24),"")</f>
        <v/>
      </c>
      <c r="Q26" s="65" t="str">
        <f>IF(AND('Mapa final'!$Y$25="Media",'Mapa final'!$AA$25="Menor"),CONCATENATE("R1C",'Mapa final'!$O$25),"")</f>
        <v/>
      </c>
      <c r="R26" s="65" t="e">
        <f>IF(AND('Mapa final'!#REF!="Media",'Mapa final'!#REF!="Menor"),CONCATENATE("R1C",'Mapa final'!#REF!),"")</f>
        <v>#REF!</v>
      </c>
      <c r="S26" s="65" t="e">
        <f>IF(AND('Mapa final'!#REF!="Media",'Mapa final'!#REF!="Menor"),CONCATENATE("R1C",'Mapa final'!#REF!),"")</f>
        <v>#REF!</v>
      </c>
      <c r="T26" s="65" t="e">
        <f>IF(AND('Mapa final'!#REF!="Media",'Mapa final'!#REF!="Menor"),CONCATENATE("R1C",'Mapa final'!#REF!),"")</f>
        <v>#REF!</v>
      </c>
      <c r="U26" s="66" t="e">
        <f>IF(AND('Mapa final'!#REF!="Media",'Mapa final'!#REF!="Menor"),CONCATENATE("R1C",'Mapa final'!#REF!),"")</f>
        <v>#REF!</v>
      </c>
      <c r="V26" s="64" t="str">
        <f>IF(AND('Mapa final'!$Y$24="Media",'Mapa final'!$AA$24="Moderado"),CONCATENATE("R1C",'Mapa final'!$O$24),"")</f>
        <v/>
      </c>
      <c r="W26" s="65" t="str">
        <f>IF(AND('Mapa final'!$Y$25="Media",'Mapa final'!$AA$25="Moderado"),CONCATENATE("R1C",'Mapa final'!$O$25),"")</f>
        <v/>
      </c>
      <c r="X26" s="65" t="e">
        <f>IF(AND('Mapa final'!#REF!="Media",'Mapa final'!#REF!="Moderado"),CONCATENATE("R1C",'Mapa final'!#REF!),"")</f>
        <v>#REF!</v>
      </c>
      <c r="Y26" s="65" t="e">
        <f>IF(AND('Mapa final'!#REF!="Media",'Mapa final'!#REF!="Moderado"),CONCATENATE("R1C",'Mapa final'!#REF!),"")</f>
        <v>#REF!</v>
      </c>
      <c r="Z26" s="65" t="e">
        <f>IF(AND('Mapa final'!#REF!="Media",'Mapa final'!#REF!="Moderado"),CONCATENATE("R1C",'Mapa final'!#REF!),"")</f>
        <v>#REF!</v>
      </c>
      <c r="AA26" s="66" t="e">
        <f>IF(AND('Mapa final'!#REF!="Media",'Mapa final'!#REF!="Moderado"),CONCATENATE("R1C",'Mapa final'!#REF!),"")</f>
        <v>#REF!</v>
      </c>
      <c r="AB26" s="46" t="str">
        <f>IF(AND('Mapa final'!$Y$24="Media",'Mapa final'!$AA$24="Mayor"),CONCATENATE("R1C",'Mapa final'!$O$24),"")</f>
        <v>R1C1</v>
      </c>
      <c r="AC26" s="47" t="str">
        <f>IF(AND('Mapa final'!$Y$25="Media",'Mapa final'!$AA$25="Mayor"),CONCATENATE("R1C",'Mapa final'!$O$25),"")</f>
        <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final'!$Y$24="Media",'Mapa final'!$AA$24="Catastrófico"),CONCATENATE("R1C",'Mapa final'!$O$24),"")</f>
        <v/>
      </c>
      <c r="AI26" s="50" t="str">
        <f>IF(AND('Mapa final'!$Y$25="Media",'Mapa final'!$AA$25="Catastrófico"),CONCATENATE("R1C",'Mapa final'!$O$25),"")</f>
        <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3"/>
      <c r="AO26" s="473" t="s">
        <v>97</v>
      </c>
      <c r="AP26" s="474"/>
      <c r="AQ26" s="474"/>
      <c r="AR26" s="474"/>
      <c r="AS26" s="474"/>
      <c r="AT26" s="47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395"/>
      <c r="C27" s="395"/>
      <c r="D27" s="396"/>
      <c r="E27" s="452"/>
      <c r="F27" s="437"/>
      <c r="G27" s="437"/>
      <c r="H27" s="437"/>
      <c r="I27" s="438"/>
      <c r="J27" s="67" t="str">
        <f>IF(AND('Mapa final'!$Y$26="Media",'Mapa final'!$AA$26="Leve"),CONCATENATE("R2C",'Mapa final'!$O$26),"")</f>
        <v/>
      </c>
      <c r="K27" s="68" t="e">
        <f>IF(AND('Mapa final'!#REF!="Media",'Mapa final'!#REF!="Leve"),CONCATENATE("R2C",'Mapa final'!#REF!),"")</f>
        <v>#REF!</v>
      </c>
      <c r="L27" s="68" t="e">
        <f>IF(AND('Mapa final'!#REF!="Media",'Mapa final'!#REF!="Leve"),CONCATENATE("R2C",'Mapa final'!#REF!),"")</f>
        <v>#REF!</v>
      </c>
      <c r="M27" s="68" t="e">
        <f>IF(AND('Mapa final'!#REF!="Media",'Mapa final'!#REF!="Leve"),CONCATENATE("R2C",'Mapa final'!#REF!),"")</f>
        <v>#REF!</v>
      </c>
      <c r="N27" s="68" t="e">
        <f>IF(AND('Mapa final'!#REF!="Media",'Mapa final'!#REF!="Leve"),CONCATENATE("R2C",'Mapa final'!#REF!),"")</f>
        <v>#REF!</v>
      </c>
      <c r="O27" s="69" t="e">
        <f>IF(AND('Mapa final'!#REF!="Media",'Mapa final'!#REF!="Leve"),CONCATENATE("R2C",'Mapa final'!#REF!),"")</f>
        <v>#REF!</v>
      </c>
      <c r="P27" s="67" t="str">
        <f>IF(AND('Mapa final'!$Y$26="Media",'Mapa final'!$AA$26="Menor"),CONCATENATE("R2C",'Mapa final'!$O$26),"")</f>
        <v/>
      </c>
      <c r="Q27" s="68" t="e">
        <f>IF(AND('Mapa final'!#REF!="Media",'Mapa final'!#REF!="Menor"),CONCATENATE("R2C",'Mapa final'!#REF!),"")</f>
        <v>#REF!</v>
      </c>
      <c r="R27" s="68" t="e">
        <f>IF(AND('Mapa final'!#REF!="Media",'Mapa final'!#REF!="Menor"),CONCATENATE("R2C",'Mapa final'!#REF!),"")</f>
        <v>#REF!</v>
      </c>
      <c r="S27" s="68" t="e">
        <f>IF(AND('Mapa final'!#REF!="Media",'Mapa final'!#REF!="Menor"),CONCATENATE("R2C",'Mapa final'!#REF!),"")</f>
        <v>#REF!</v>
      </c>
      <c r="T27" s="68" t="e">
        <f>IF(AND('Mapa final'!#REF!="Media",'Mapa final'!#REF!="Menor"),CONCATENATE("R2C",'Mapa final'!#REF!),"")</f>
        <v>#REF!</v>
      </c>
      <c r="U27" s="69" t="e">
        <f>IF(AND('Mapa final'!#REF!="Media",'Mapa final'!#REF!="Menor"),CONCATENATE("R2C",'Mapa final'!#REF!),"")</f>
        <v>#REF!</v>
      </c>
      <c r="V27" s="67" t="str">
        <f>IF(AND('Mapa final'!$Y$26="Media",'Mapa final'!$AA$26="Moderado"),CONCATENATE("R2C",'Mapa final'!$O$26),"")</f>
        <v>R2C1</v>
      </c>
      <c r="W27" s="68" t="e">
        <f>IF(AND('Mapa final'!#REF!="Media",'Mapa final'!#REF!="Moderado"),CONCATENATE("R2C",'Mapa final'!#REF!),"")</f>
        <v>#REF!</v>
      </c>
      <c r="X27" s="68" t="e">
        <f>IF(AND('Mapa final'!#REF!="Media",'Mapa final'!#REF!="Moderado"),CONCATENATE("R2C",'Mapa final'!#REF!),"")</f>
        <v>#REF!</v>
      </c>
      <c r="Y27" s="68" t="e">
        <f>IF(AND('Mapa final'!#REF!="Media",'Mapa final'!#REF!="Moderado"),CONCATENATE("R2C",'Mapa final'!#REF!),"")</f>
        <v>#REF!</v>
      </c>
      <c r="Z27" s="68" t="e">
        <f>IF(AND('Mapa final'!#REF!="Media",'Mapa final'!#REF!="Moderado"),CONCATENATE("R2C",'Mapa final'!#REF!),"")</f>
        <v>#REF!</v>
      </c>
      <c r="AA27" s="69" t="e">
        <f>IF(AND('Mapa final'!#REF!="Media",'Mapa final'!#REF!="Moderado"),CONCATENATE("R2C",'Mapa final'!#REF!),"")</f>
        <v>#REF!</v>
      </c>
      <c r="AB27" s="52" t="str">
        <f>IF(AND('Mapa final'!$Y$26="Media",'Mapa final'!$AA$26="Mayor"),CONCATENATE("R2C",'Mapa final'!$O$26),"")</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final'!$Y$26="Media",'Mapa final'!$AA$26="Catastrófico"),CONCATENATE("R2C",'Mapa final'!$O$26),"")</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3"/>
      <c r="AO27" s="476"/>
      <c r="AP27" s="477"/>
      <c r="AQ27" s="477"/>
      <c r="AR27" s="477"/>
      <c r="AS27" s="477"/>
      <c r="AT27" s="47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395"/>
      <c r="C28" s="395"/>
      <c r="D28" s="396"/>
      <c r="E28" s="436"/>
      <c r="F28" s="437"/>
      <c r="G28" s="437"/>
      <c r="H28" s="437"/>
      <c r="I28" s="438"/>
      <c r="J28" s="67" t="str">
        <f>IF(AND('Mapa final'!$Y$27="Media",'Mapa final'!$AA$27="Leve"),CONCATENATE("R3C",'Mapa final'!$O$27),"")</f>
        <v/>
      </c>
      <c r="K28" s="68" t="str">
        <f>IF(AND('Mapa final'!$Y$28="Media",'Mapa final'!$AA$28="Leve"),CONCATENATE("R3C",'Mapa final'!$O$28),"")</f>
        <v/>
      </c>
      <c r="L28" s="68" t="str">
        <f>IF(AND('Mapa final'!$Y$29="Media",'Mapa final'!$AA$29="Leve"),CONCATENATE("R3C",'Mapa final'!$O$29),"")</f>
        <v/>
      </c>
      <c r="M28" s="68" t="e">
        <f>IF(AND('Mapa final'!#REF!="Media",'Mapa final'!#REF!="Leve"),CONCATENATE("R3C",'Mapa final'!#REF!),"")</f>
        <v>#REF!</v>
      </c>
      <c r="N28" s="68" t="e">
        <f>IF(AND('Mapa final'!#REF!="Media",'Mapa final'!#REF!="Leve"),CONCATENATE("R3C",'Mapa final'!#REF!),"")</f>
        <v>#REF!</v>
      </c>
      <c r="O28" s="69" t="e">
        <f>IF(AND('Mapa final'!#REF!="Media",'Mapa final'!#REF!="Leve"),CONCATENATE("R3C",'Mapa final'!#REF!),"")</f>
        <v>#REF!</v>
      </c>
      <c r="P28" s="67" t="str">
        <f>IF(AND('Mapa final'!$Y$27="Media",'Mapa final'!$AA$27="Menor"),CONCATENATE("R3C",'Mapa final'!$O$27),"")</f>
        <v/>
      </c>
      <c r="Q28" s="68" t="str">
        <f>IF(AND('Mapa final'!$Y$28="Media",'Mapa final'!$AA$28="Menor"),CONCATENATE("R3C",'Mapa final'!$O$28),"")</f>
        <v/>
      </c>
      <c r="R28" s="68" t="str">
        <f>IF(AND('Mapa final'!$Y$29="Media",'Mapa final'!$AA$29="Menor"),CONCATENATE("R3C",'Mapa final'!$O$29),"")</f>
        <v>R3C3</v>
      </c>
      <c r="S28" s="68" t="e">
        <f>IF(AND('Mapa final'!#REF!="Media",'Mapa final'!#REF!="Menor"),CONCATENATE("R3C",'Mapa final'!#REF!),"")</f>
        <v>#REF!</v>
      </c>
      <c r="T28" s="68" t="e">
        <f>IF(AND('Mapa final'!#REF!="Media",'Mapa final'!#REF!="Menor"),CONCATENATE("R3C",'Mapa final'!#REF!),"")</f>
        <v>#REF!</v>
      </c>
      <c r="U28" s="69" t="e">
        <f>IF(AND('Mapa final'!#REF!="Media",'Mapa final'!#REF!="Menor"),CONCATENATE("R3C",'Mapa final'!#REF!),"")</f>
        <v>#REF!</v>
      </c>
      <c r="V28" s="67" t="str">
        <f>IF(AND('Mapa final'!$Y$27="Media",'Mapa final'!$AA$27="Moderado"),CONCATENATE("R3C",'Mapa final'!$O$27),"")</f>
        <v>R3C1</v>
      </c>
      <c r="W28" s="68" t="str">
        <f>IF(AND('Mapa final'!$Y$28="Media",'Mapa final'!$AA$28="Moderado"),CONCATENATE("R3C",'Mapa final'!$O$28),"")</f>
        <v>R3C2</v>
      </c>
      <c r="X28" s="68" t="str">
        <f>IF(AND('Mapa final'!$Y$29="Media",'Mapa final'!$AA$29="Moderado"),CONCATENATE("R3C",'Mapa final'!$O$29),"")</f>
        <v/>
      </c>
      <c r="Y28" s="68" t="e">
        <f>IF(AND('Mapa final'!#REF!="Media",'Mapa final'!#REF!="Moderado"),CONCATENATE("R3C",'Mapa final'!#REF!),"")</f>
        <v>#REF!</v>
      </c>
      <c r="Z28" s="68" t="e">
        <f>IF(AND('Mapa final'!#REF!="Media",'Mapa final'!#REF!="Moderado"),CONCATENATE("R3C",'Mapa final'!#REF!),"")</f>
        <v>#REF!</v>
      </c>
      <c r="AA28" s="69" t="e">
        <f>IF(AND('Mapa final'!#REF!="Media",'Mapa final'!#REF!="Moderado"),CONCATENATE("R3C",'Mapa final'!#REF!),"")</f>
        <v>#REF!</v>
      </c>
      <c r="AB28" s="52" t="str">
        <f>IF(AND('Mapa final'!$Y$27="Media",'Mapa final'!$AA$27="Mayor"),CONCATENATE("R3C",'Mapa final'!$O$27),"")</f>
        <v/>
      </c>
      <c r="AC28" s="53" t="str">
        <f>IF(AND('Mapa final'!$Y$28="Media",'Mapa final'!$AA$28="Mayor"),CONCATENATE("R3C",'Mapa final'!$O$28),"")</f>
        <v/>
      </c>
      <c r="AD28" s="53" t="str">
        <f>IF(AND('Mapa final'!$Y$29="Media",'Mapa final'!$AA$29="Mayor"),CONCATENATE("R3C",'Mapa final'!$O$29),"")</f>
        <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final'!$Y$27="Media",'Mapa final'!$AA$27="Catastrófico"),CONCATENATE("R3C",'Mapa final'!$O$27),"")</f>
        <v/>
      </c>
      <c r="AI28" s="56" t="str">
        <f>IF(AND('Mapa final'!$Y$28="Media",'Mapa final'!$AA$28="Catastrófico"),CONCATENATE("R3C",'Mapa final'!$O$28),"")</f>
        <v/>
      </c>
      <c r="AJ28" s="56" t="str">
        <f>IF(AND('Mapa final'!$Y$29="Media",'Mapa final'!$AA$29="Catastrófico"),CONCATENATE("R3C",'Mapa final'!$O$29),"")</f>
        <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3"/>
      <c r="AO28" s="476"/>
      <c r="AP28" s="477"/>
      <c r="AQ28" s="477"/>
      <c r="AR28" s="477"/>
      <c r="AS28" s="477"/>
      <c r="AT28" s="47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395"/>
      <c r="C29" s="395"/>
      <c r="D29" s="396"/>
      <c r="E29" s="436"/>
      <c r="F29" s="437"/>
      <c r="G29" s="437"/>
      <c r="H29" s="437"/>
      <c r="I29" s="438"/>
      <c r="J29" s="67" t="str">
        <f>IF(AND('Mapa final'!$Y$30="Media",'Mapa final'!$AA$30="Leve"),CONCATENATE("R4C",'Mapa final'!$O$30),"")</f>
        <v/>
      </c>
      <c r="K29" s="68" t="str">
        <f>IF(AND('Mapa final'!$Y$31="Media",'Mapa final'!$AA$31="Leve"),CONCATENATE("R4C",'Mapa final'!$O$31),"")</f>
        <v/>
      </c>
      <c r="L29" s="68" t="str">
        <f>IF(AND('Mapa final'!$Y$32="Media",'Mapa final'!$AA$32="Leve"),CONCATENATE("R4C",'Mapa final'!$O$32),"")</f>
        <v/>
      </c>
      <c r="M29" s="68" t="str">
        <f>IF(AND('Mapa final'!$Y$33="Media",'Mapa final'!$AA$33="Leve"),CONCATENATE("R4C",'Mapa final'!$O$33),"")</f>
        <v/>
      </c>
      <c r="N29" s="68" t="str">
        <f>IF(AND('Mapa final'!$Y$34="Media",'Mapa final'!$AA$34="Leve"),CONCATENATE("R4C",'Mapa final'!$O$34),"")</f>
        <v/>
      </c>
      <c r="O29" s="69" t="str">
        <f>IF(AND('Mapa final'!$Y$35="Media",'Mapa final'!$AA$35="Leve"),CONCATENATE("R4C",'Mapa final'!$O$35),"")</f>
        <v/>
      </c>
      <c r="P29" s="67" t="str">
        <f>IF(AND('Mapa final'!$Y$30="Media",'Mapa final'!$AA$30="Menor"),CONCATENATE("R4C",'Mapa final'!$O$30),"")</f>
        <v/>
      </c>
      <c r="Q29" s="68" t="str">
        <f>IF(AND('Mapa final'!$Y$31="Media",'Mapa final'!$AA$31="Menor"),CONCATENATE("R4C",'Mapa final'!$O$31),"")</f>
        <v/>
      </c>
      <c r="R29" s="68" t="str">
        <f>IF(AND('Mapa final'!$Y$32="Media",'Mapa final'!$AA$32="Menor"),CONCATENATE("R4C",'Mapa final'!$O$32),"")</f>
        <v/>
      </c>
      <c r="S29" s="68" t="str">
        <f>IF(AND('Mapa final'!$Y$33="Media",'Mapa final'!$AA$33="Menor"),CONCATENATE("R4C",'Mapa final'!$O$33),"")</f>
        <v/>
      </c>
      <c r="T29" s="68" t="str">
        <f>IF(AND('Mapa final'!$Y$34="Media",'Mapa final'!$AA$34="Menor"),CONCATENATE("R4C",'Mapa final'!$O$34),"")</f>
        <v/>
      </c>
      <c r="U29" s="69" t="str">
        <f>IF(AND('Mapa final'!$Y$35="Media",'Mapa final'!$AA$35="Menor"),CONCATENATE("R4C",'Mapa final'!$O$35),"")</f>
        <v/>
      </c>
      <c r="V29" s="67" t="str">
        <f>IF(AND('Mapa final'!$Y$30="Media",'Mapa final'!$AA$30="Moderado"),CONCATENATE("R4C",'Mapa final'!$O$30),"")</f>
        <v/>
      </c>
      <c r="W29" s="68" t="str">
        <f>IF(AND('Mapa final'!$Y$31="Media",'Mapa final'!$AA$31="Moderado"),CONCATENATE("R4C",'Mapa final'!$O$31),"")</f>
        <v/>
      </c>
      <c r="X29" s="68" t="str">
        <f>IF(AND('Mapa final'!$Y$32="Media",'Mapa final'!$AA$32="Moderado"),CONCATENATE("R4C",'Mapa final'!$O$32),"")</f>
        <v/>
      </c>
      <c r="Y29" s="68" t="str">
        <f>IF(AND('Mapa final'!$Y$33="Media",'Mapa final'!$AA$33="Moderado"),CONCATENATE("R4C",'Mapa final'!$O$33),"")</f>
        <v/>
      </c>
      <c r="Z29" s="68" t="str">
        <f>IF(AND('Mapa final'!$Y$34="Media",'Mapa final'!$AA$34="Moderado"),CONCATENATE("R4C",'Mapa final'!$O$34),"")</f>
        <v/>
      </c>
      <c r="AA29" s="69" t="str">
        <f>IF(AND('Mapa final'!$Y$35="Media",'Mapa final'!$AA$35="Moderado"),CONCATENATE("R4C",'Mapa final'!$O$35),"")</f>
        <v/>
      </c>
      <c r="AB29" s="52" t="str">
        <f>IF(AND('Mapa final'!$Y$30="Media",'Mapa final'!$AA$30="Mayor"),CONCATENATE("R4C",'Mapa final'!$O$30),"")</f>
        <v/>
      </c>
      <c r="AC29" s="53" t="str">
        <f>IF(AND('Mapa final'!$Y$31="Media",'Mapa final'!$AA$31="Mayor"),CONCATENATE("R4C",'Mapa final'!$O$31),"")</f>
        <v/>
      </c>
      <c r="AD29" s="53" t="str">
        <f>IF(AND('Mapa final'!$Y$32="Media",'Mapa final'!$AA$32="Mayor"),CONCATENATE("R4C",'Mapa final'!$O$32),"")</f>
        <v/>
      </c>
      <c r="AE29" s="53" t="str">
        <f>IF(AND('Mapa final'!$Y$33="Media",'Mapa final'!$AA$33="Mayor"),CONCATENATE("R4C",'Mapa final'!$O$33),"")</f>
        <v/>
      </c>
      <c r="AF29" s="53" t="str">
        <f>IF(AND('Mapa final'!$Y$34="Media",'Mapa final'!$AA$34="Mayor"),CONCATENATE("R4C",'Mapa final'!$O$34),"")</f>
        <v/>
      </c>
      <c r="AG29" s="54" t="str">
        <f>IF(AND('Mapa final'!$Y$35="Media",'Mapa final'!$AA$35="Mayor"),CONCATENATE("R4C",'Mapa final'!$O$35),"")</f>
        <v/>
      </c>
      <c r="AH29" s="55" t="str">
        <f>IF(AND('Mapa final'!$Y$30="Media",'Mapa final'!$AA$30="Catastrófico"),CONCATENATE("R4C",'Mapa final'!$O$30),"")</f>
        <v/>
      </c>
      <c r="AI29" s="56" t="str">
        <f>IF(AND('Mapa final'!$Y$31="Media",'Mapa final'!$AA$31="Catastrófico"),CONCATENATE("R4C",'Mapa final'!$O$31),"")</f>
        <v/>
      </c>
      <c r="AJ29" s="56" t="str">
        <f>IF(AND('Mapa final'!$Y$32="Media",'Mapa final'!$AA$32="Catastrófico"),CONCATENATE("R4C",'Mapa final'!$O$32),"")</f>
        <v/>
      </c>
      <c r="AK29" s="56" t="str">
        <f>IF(AND('Mapa final'!$Y$33="Media",'Mapa final'!$AA$33="Catastrófico"),CONCATENATE("R4C",'Mapa final'!$O$33),"")</f>
        <v/>
      </c>
      <c r="AL29" s="56" t="str">
        <f>IF(AND('Mapa final'!$Y$34="Media",'Mapa final'!$AA$34="Catastrófico"),CONCATENATE("R4C",'Mapa final'!$O$34),"")</f>
        <v/>
      </c>
      <c r="AM29" s="57" t="str">
        <f>IF(AND('Mapa final'!$Y$35="Media",'Mapa final'!$AA$35="Catastrófico"),CONCATENATE("R4C",'Mapa final'!$O$35),"")</f>
        <v/>
      </c>
      <c r="AN29" s="83"/>
      <c r="AO29" s="476"/>
      <c r="AP29" s="477"/>
      <c r="AQ29" s="477"/>
      <c r="AR29" s="477"/>
      <c r="AS29" s="477"/>
      <c r="AT29" s="47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395"/>
      <c r="C30" s="395"/>
      <c r="D30" s="396"/>
      <c r="E30" s="436"/>
      <c r="F30" s="437"/>
      <c r="G30" s="437"/>
      <c r="H30" s="437"/>
      <c r="I30" s="438"/>
      <c r="J30" s="67" t="str">
        <f>IF(AND('Mapa final'!$Y$36="Media",'Mapa final'!$AA$36="Leve"),CONCATENATE("R5C",'Mapa final'!$O$36),"")</f>
        <v/>
      </c>
      <c r="K30" s="68" t="str">
        <f>IF(AND('Mapa final'!$Y$37="Media",'Mapa final'!$AA$37="Leve"),CONCATENATE("R5C",'Mapa final'!$O$37),"")</f>
        <v/>
      </c>
      <c r="L30" s="68" t="str">
        <f>IF(AND('Mapa final'!$Y$38="Media",'Mapa final'!$AA$38="Leve"),CONCATENATE("R5C",'Mapa final'!$O$38),"")</f>
        <v/>
      </c>
      <c r="M30" s="68" t="str">
        <f>IF(AND('Mapa final'!$Y$39="Media",'Mapa final'!$AA$39="Leve"),CONCATENATE("R5C",'Mapa final'!$O$39),"")</f>
        <v/>
      </c>
      <c r="N30" s="68" t="str">
        <f>IF(AND('Mapa final'!$Y$40="Media",'Mapa final'!$AA$40="Leve"),CONCATENATE("R5C",'Mapa final'!$O$40),"")</f>
        <v/>
      </c>
      <c r="O30" s="69" t="str">
        <f>IF(AND('Mapa final'!$Y$41="Media",'Mapa final'!$AA$41="Leve"),CONCATENATE("R5C",'Mapa final'!$O$41),"")</f>
        <v/>
      </c>
      <c r="P30" s="67" t="str">
        <f>IF(AND('Mapa final'!$Y$36="Media",'Mapa final'!$AA$36="Menor"),CONCATENATE("R5C",'Mapa final'!$O$36),"")</f>
        <v/>
      </c>
      <c r="Q30" s="68" t="str">
        <f>IF(AND('Mapa final'!$Y$37="Media",'Mapa final'!$AA$37="Menor"),CONCATENATE("R5C",'Mapa final'!$O$37),"")</f>
        <v/>
      </c>
      <c r="R30" s="68" t="str">
        <f>IF(AND('Mapa final'!$Y$38="Media",'Mapa final'!$AA$38="Menor"),CONCATENATE("R5C",'Mapa final'!$O$38),"")</f>
        <v/>
      </c>
      <c r="S30" s="68" t="str">
        <f>IF(AND('Mapa final'!$Y$39="Media",'Mapa final'!$AA$39="Menor"),CONCATENATE("R5C",'Mapa final'!$O$39),"")</f>
        <v/>
      </c>
      <c r="T30" s="68" t="str">
        <f>IF(AND('Mapa final'!$Y$40="Media",'Mapa final'!$AA$40="Menor"),CONCATENATE("R5C",'Mapa final'!$O$40),"")</f>
        <v/>
      </c>
      <c r="U30" s="69" t="str">
        <f>IF(AND('Mapa final'!$Y$41="Media",'Mapa final'!$AA$41="Menor"),CONCATENATE("R5C",'Mapa final'!$O$41),"")</f>
        <v/>
      </c>
      <c r="V30" s="67" t="str">
        <f>IF(AND('Mapa final'!$Y$36="Media",'Mapa final'!$AA$36="Moderado"),CONCATENATE("R5C",'Mapa final'!$O$36),"")</f>
        <v/>
      </c>
      <c r="W30" s="68" t="str">
        <f>IF(AND('Mapa final'!$Y$37="Media",'Mapa final'!$AA$37="Moderado"),CONCATENATE("R5C",'Mapa final'!$O$37),"")</f>
        <v/>
      </c>
      <c r="X30" s="68" t="str">
        <f>IF(AND('Mapa final'!$Y$38="Media",'Mapa final'!$AA$38="Moderado"),CONCATENATE("R5C",'Mapa final'!$O$38),"")</f>
        <v/>
      </c>
      <c r="Y30" s="68" t="str">
        <f>IF(AND('Mapa final'!$Y$39="Media",'Mapa final'!$AA$39="Moderado"),CONCATENATE("R5C",'Mapa final'!$O$39),"")</f>
        <v/>
      </c>
      <c r="Z30" s="68" t="str">
        <f>IF(AND('Mapa final'!$Y$40="Media",'Mapa final'!$AA$40="Moderado"),CONCATENATE("R5C",'Mapa final'!$O$40),"")</f>
        <v/>
      </c>
      <c r="AA30" s="69" t="str">
        <f>IF(AND('Mapa final'!$Y$41="Media",'Mapa final'!$AA$41="Moderado"),CONCATENATE("R5C",'Mapa final'!$O$41),"")</f>
        <v/>
      </c>
      <c r="AB30" s="52" t="str">
        <f>IF(AND('Mapa final'!$Y$36="Media",'Mapa final'!$AA$36="Mayor"),CONCATENATE("R5C",'Mapa final'!$O$36),"")</f>
        <v/>
      </c>
      <c r="AC30" s="53" t="str">
        <f>IF(AND('Mapa final'!$Y$37="Media",'Mapa final'!$AA$37="Mayor"),CONCATENATE("R5C",'Mapa final'!$O$37),"")</f>
        <v/>
      </c>
      <c r="AD30" s="53" t="str">
        <f>IF(AND('Mapa final'!$Y$38="Media",'Mapa final'!$AA$38="Mayor"),CONCATENATE("R5C",'Mapa final'!$O$38),"")</f>
        <v/>
      </c>
      <c r="AE30" s="53" t="str">
        <f>IF(AND('Mapa final'!$Y$39="Media",'Mapa final'!$AA$39="Mayor"),CONCATENATE("R5C",'Mapa final'!$O$39),"")</f>
        <v/>
      </c>
      <c r="AF30" s="53" t="str">
        <f>IF(AND('Mapa final'!$Y$40="Media",'Mapa final'!$AA$40="Mayor"),CONCATENATE("R5C",'Mapa final'!$O$40),"")</f>
        <v/>
      </c>
      <c r="AG30" s="54" t="str">
        <f>IF(AND('Mapa final'!$Y$41="Media",'Mapa final'!$AA$41="Mayor"),CONCATENATE("R5C",'Mapa final'!$O$41),"")</f>
        <v/>
      </c>
      <c r="AH30" s="55" t="str">
        <f>IF(AND('Mapa final'!$Y$36="Media",'Mapa final'!$AA$36="Catastrófico"),CONCATENATE("R5C",'Mapa final'!$O$36),"")</f>
        <v/>
      </c>
      <c r="AI30" s="56" t="str">
        <f>IF(AND('Mapa final'!$Y$37="Media",'Mapa final'!$AA$37="Catastrófico"),CONCATENATE("R5C",'Mapa final'!$O$37),"")</f>
        <v/>
      </c>
      <c r="AJ30" s="56" t="str">
        <f>IF(AND('Mapa final'!$Y$38="Media",'Mapa final'!$AA$38="Catastrófico"),CONCATENATE("R5C",'Mapa final'!$O$38),"")</f>
        <v/>
      </c>
      <c r="AK30" s="56" t="str">
        <f>IF(AND('Mapa final'!$Y$39="Media",'Mapa final'!$AA$39="Catastrófico"),CONCATENATE("R5C",'Mapa final'!$O$39),"")</f>
        <v/>
      </c>
      <c r="AL30" s="56" t="str">
        <f>IF(AND('Mapa final'!$Y$40="Media",'Mapa final'!$AA$40="Catastrófico"),CONCATENATE("R5C",'Mapa final'!$O$40),"")</f>
        <v/>
      </c>
      <c r="AM30" s="57" t="str">
        <f>IF(AND('Mapa final'!$Y$41="Media",'Mapa final'!$AA$41="Catastrófico"),CONCATENATE("R5C",'Mapa final'!$O$41),"")</f>
        <v/>
      </c>
      <c r="AN30" s="83"/>
      <c r="AO30" s="476"/>
      <c r="AP30" s="477"/>
      <c r="AQ30" s="477"/>
      <c r="AR30" s="477"/>
      <c r="AS30" s="477"/>
      <c r="AT30" s="47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395"/>
      <c r="C31" s="395"/>
      <c r="D31" s="396"/>
      <c r="E31" s="436"/>
      <c r="F31" s="437"/>
      <c r="G31" s="437"/>
      <c r="H31" s="437"/>
      <c r="I31" s="438"/>
      <c r="J31" s="67" t="str">
        <f>IF(AND('Mapa final'!$Y$42="Media",'Mapa final'!$AA$42="Leve"),CONCATENATE("R6C",'Mapa final'!$O$42),"")</f>
        <v/>
      </c>
      <c r="K31" s="68" t="str">
        <f>IF(AND('Mapa final'!$Y$43="Media",'Mapa final'!$AA$43="Leve"),CONCATENATE("R6C",'Mapa final'!$O$43),"")</f>
        <v/>
      </c>
      <c r="L31" s="68" t="str">
        <f>IF(AND('Mapa final'!$Y$44="Media",'Mapa final'!$AA$44="Leve"),CONCATENATE("R6C",'Mapa final'!$O$44),"")</f>
        <v/>
      </c>
      <c r="M31" s="68" t="str">
        <f>IF(AND('Mapa final'!$Y$45="Media",'Mapa final'!$AA$45="Leve"),CONCATENATE("R6C",'Mapa final'!$O$45),"")</f>
        <v/>
      </c>
      <c r="N31" s="68" t="str">
        <f>IF(AND('Mapa final'!$Y$46="Media",'Mapa final'!$AA$46="Leve"),CONCATENATE("R6C",'Mapa final'!$O$46),"")</f>
        <v/>
      </c>
      <c r="O31" s="69" t="str">
        <f>IF(AND('Mapa final'!$Y$47="Media",'Mapa final'!$AA$47="Leve"),CONCATENATE("R6C",'Mapa final'!$O$47),"")</f>
        <v/>
      </c>
      <c r="P31" s="67" t="str">
        <f>IF(AND('Mapa final'!$Y$42="Media",'Mapa final'!$AA$42="Menor"),CONCATENATE("R6C",'Mapa final'!$O$42),"")</f>
        <v/>
      </c>
      <c r="Q31" s="68" t="str">
        <f>IF(AND('Mapa final'!$Y$43="Media",'Mapa final'!$AA$43="Menor"),CONCATENATE("R6C",'Mapa final'!$O$43),"")</f>
        <v/>
      </c>
      <c r="R31" s="68" t="str">
        <f>IF(AND('Mapa final'!$Y$44="Media",'Mapa final'!$AA$44="Menor"),CONCATENATE("R6C",'Mapa final'!$O$44),"")</f>
        <v/>
      </c>
      <c r="S31" s="68" t="str">
        <f>IF(AND('Mapa final'!$Y$45="Media",'Mapa final'!$AA$45="Menor"),CONCATENATE("R6C",'Mapa final'!$O$45),"")</f>
        <v/>
      </c>
      <c r="T31" s="68" t="str">
        <f>IF(AND('Mapa final'!$Y$46="Media",'Mapa final'!$AA$46="Menor"),CONCATENATE("R6C",'Mapa final'!$O$46),"")</f>
        <v/>
      </c>
      <c r="U31" s="69" t="str">
        <f>IF(AND('Mapa final'!$Y$47="Media",'Mapa final'!$AA$47="Menor"),CONCATENATE("R6C",'Mapa final'!$O$47),"")</f>
        <v/>
      </c>
      <c r="V31" s="67" t="str">
        <f>IF(AND('Mapa final'!$Y$42="Media",'Mapa final'!$AA$42="Moderado"),CONCATENATE("R6C",'Mapa final'!$O$42),"")</f>
        <v/>
      </c>
      <c r="W31" s="68" t="str">
        <f>IF(AND('Mapa final'!$Y$43="Media",'Mapa final'!$AA$43="Moderado"),CONCATENATE("R6C",'Mapa final'!$O$43),"")</f>
        <v/>
      </c>
      <c r="X31" s="68" t="str">
        <f>IF(AND('Mapa final'!$Y$44="Media",'Mapa final'!$AA$44="Moderado"),CONCATENATE("R6C",'Mapa final'!$O$44),"")</f>
        <v/>
      </c>
      <c r="Y31" s="68" t="str">
        <f>IF(AND('Mapa final'!$Y$45="Media",'Mapa final'!$AA$45="Moderado"),CONCATENATE("R6C",'Mapa final'!$O$45),"")</f>
        <v/>
      </c>
      <c r="Z31" s="68" t="str">
        <f>IF(AND('Mapa final'!$Y$46="Media",'Mapa final'!$AA$46="Moderado"),CONCATENATE("R6C",'Mapa final'!$O$46),"")</f>
        <v/>
      </c>
      <c r="AA31" s="69" t="str">
        <f>IF(AND('Mapa final'!$Y$47="Media",'Mapa final'!$AA$47="Moderado"),CONCATENATE("R6C",'Mapa final'!$O$47),"")</f>
        <v/>
      </c>
      <c r="AB31" s="52" t="str">
        <f>IF(AND('Mapa final'!$Y$42="Media",'Mapa final'!$AA$42="Mayor"),CONCATENATE("R6C",'Mapa final'!$O$42),"")</f>
        <v/>
      </c>
      <c r="AC31" s="53" t="str">
        <f>IF(AND('Mapa final'!$Y$43="Media",'Mapa final'!$AA$43="Mayor"),CONCATENATE("R6C",'Mapa final'!$O$43),"")</f>
        <v/>
      </c>
      <c r="AD31" s="53" t="str">
        <f>IF(AND('Mapa final'!$Y$44="Media",'Mapa final'!$AA$44="Mayor"),CONCATENATE("R6C",'Mapa final'!$O$44),"")</f>
        <v/>
      </c>
      <c r="AE31" s="53" t="str">
        <f>IF(AND('Mapa final'!$Y$45="Media",'Mapa final'!$AA$45="Mayor"),CONCATENATE("R6C",'Mapa final'!$O$45),"")</f>
        <v/>
      </c>
      <c r="AF31" s="53" t="str">
        <f>IF(AND('Mapa final'!$Y$46="Media",'Mapa final'!$AA$46="Mayor"),CONCATENATE("R6C",'Mapa final'!$O$46),"")</f>
        <v/>
      </c>
      <c r="AG31" s="54" t="str">
        <f>IF(AND('Mapa final'!$Y$47="Media",'Mapa final'!$AA$47="Mayor"),CONCATENATE("R6C",'Mapa final'!$O$47),"")</f>
        <v/>
      </c>
      <c r="AH31" s="55" t="str">
        <f>IF(AND('Mapa final'!$Y$42="Media",'Mapa final'!$AA$42="Catastrófico"),CONCATENATE("R6C",'Mapa final'!$O$42),"")</f>
        <v/>
      </c>
      <c r="AI31" s="56" t="str">
        <f>IF(AND('Mapa final'!$Y$43="Media",'Mapa final'!$AA$43="Catastrófico"),CONCATENATE("R6C",'Mapa final'!$O$43),"")</f>
        <v/>
      </c>
      <c r="AJ31" s="56" t="str">
        <f>IF(AND('Mapa final'!$Y$44="Media",'Mapa final'!$AA$44="Catastrófico"),CONCATENATE("R6C",'Mapa final'!$O$44),"")</f>
        <v/>
      </c>
      <c r="AK31" s="56" t="str">
        <f>IF(AND('Mapa final'!$Y$45="Media",'Mapa final'!$AA$45="Catastrófico"),CONCATENATE("R6C",'Mapa final'!$O$45),"")</f>
        <v/>
      </c>
      <c r="AL31" s="56" t="str">
        <f>IF(AND('Mapa final'!$Y$46="Media",'Mapa final'!$AA$46="Catastrófico"),CONCATENATE("R6C",'Mapa final'!$O$46),"")</f>
        <v/>
      </c>
      <c r="AM31" s="57" t="str">
        <f>IF(AND('Mapa final'!$Y$47="Media",'Mapa final'!$AA$47="Catastrófico"),CONCATENATE("R6C",'Mapa final'!$O$47),"")</f>
        <v/>
      </c>
      <c r="AN31" s="83"/>
      <c r="AO31" s="476"/>
      <c r="AP31" s="477"/>
      <c r="AQ31" s="477"/>
      <c r="AR31" s="477"/>
      <c r="AS31" s="477"/>
      <c r="AT31" s="47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395"/>
      <c r="C32" s="395"/>
      <c r="D32" s="396"/>
      <c r="E32" s="436"/>
      <c r="F32" s="437"/>
      <c r="G32" s="437"/>
      <c r="H32" s="437"/>
      <c r="I32" s="438"/>
      <c r="J32" s="67" t="str">
        <f>IF(AND('Mapa final'!$Y$48="Media",'Mapa final'!$AA$48="Leve"),CONCATENATE("R7C",'Mapa final'!$O$48),"")</f>
        <v/>
      </c>
      <c r="K32" s="68" t="str">
        <f>IF(AND('Mapa final'!$Y$49="Media",'Mapa final'!$AA$49="Leve"),CONCATENATE("R7C",'Mapa final'!$O$49),"")</f>
        <v/>
      </c>
      <c r="L32" s="68" t="e">
        <f>IF(AND('Mapa final'!#REF!="Media",'Mapa final'!#REF!="Leve"),CONCATENATE("R7C",'Mapa final'!#REF!),"")</f>
        <v>#REF!</v>
      </c>
      <c r="M32" s="68" t="e">
        <f>IF(AND('Mapa final'!#REF!="Media",'Mapa final'!#REF!="Leve"),CONCATENATE("R7C",'Mapa final'!#REF!),"")</f>
        <v>#REF!</v>
      </c>
      <c r="N32" s="68" t="e">
        <f>IF(AND('Mapa final'!#REF!="Media",'Mapa final'!#REF!="Leve"),CONCATENATE("R7C",'Mapa final'!#REF!),"")</f>
        <v>#REF!</v>
      </c>
      <c r="O32" s="69" t="e">
        <f>IF(AND('Mapa final'!#REF!="Media",'Mapa final'!#REF!="Leve"),CONCATENATE("R7C",'Mapa final'!#REF!),"")</f>
        <v>#REF!</v>
      </c>
      <c r="P32" s="67" t="str">
        <f>IF(AND('Mapa final'!$Y$48="Media",'Mapa final'!$AA$48="Menor"),CONCATENATE("R7C",'Mapa final'!$O$48),"")</f>
        <v/>
      </c>
      <c r="Q32" s="68" t="str">
        <f>IF(AND('Mapa final'!$Y$49="Media",'Mapa final'!$AA$49="Menor"),CONCATENATE("R7C",'Mapa final'!$O$49),"")</f>
        <v/>
      </c>
      <c r="R32" s="68" t="e">
        <f>IF(AND('Mapa final'!#REF!="Media",'Mapa final'!#REF!="Menor"),CONCATENATE("R7C",'Mapa final'!#REF!),"")</f>
        <v>#REF!</v>
      </c>
      <c r="S32" s="68" t="e">
        <f>IF(AND('Mapa final'!#REF!="Media",'Mapa final'!#REF!="Menor"),CONCATENATE("R7C",'Mapa final'!#REF!),"")</f>
        <v>#REF!</v>
      </c>
      <c r="T32" s="68" t="e">
        <f>IF(AND('Mapa final'!#REF!="Media",'Mapa final'!#REF!="Menor"),CONCATENATE("R7C",'Mapa final'!#REF!),"")</f>
        <v>#REF!</v>
      </c>
      <c r="U32" s="69" t="e">
        <f>IF(AND('Mapa final'!#REF!="Media",'Mapa final'!#REF!="Menor"),CONCATENATE("R7C",'Mapa final'!#REF!),"")</f>
        <v>#REF!</v>
      </c>
      <c r="V32" s="67" t="str">
        <f>IF(AND('Mapa final'!$Y$48="Media",'Mapa final'!$AA$48="Moderado"),CONCATENATE("R7C",'Mapa final'!$O$48),"")</f>
        <v/>
      </c>
      <c r="W32" s="68" t="str">
        <f>IF(AND('Mapa final'!$Y$49="Media",'Mapa final'!$AA$49="Moderado"),CONCATENATE("R7C",'Mapa final'!$O$49),"")</f>
        <v/>
      </c>
      <c r="X32" s="68" t="e">
        <f>IF(AND('Mapa final'!#REF!="Media",'Mapa final'!#REF!="Moderado"),CONCATENATE("R7C",'Mapa final'!#REF!),"")</f>
        <v>#REF!</v>
      </c>
      <c r="Y32" s="68" t="e">
        <f>IF(AND('Mapa final'!#REF!="Media",'Mapa final'!#REF!="Moderado"),CONCATENATE("R7C",'Mapa final'!#REF!),"")</f>
        <v>#REF!</v>
      </c>
      <c r="Z32" s="68" t="e">
        <f>IF(AND('Mapa final'!#REF!="Media",'Mapa final'!#REF!="Moderado"),CONCATENATE("R7C",'Mapa final'!#REF!),"")</f>
        <v>#REF!</v>
      </c>
      <c r="AA32" s="69" t="e">
        <f>IF(AND('Mapa final'!#REF!="Media",'Mapa final'!#REF!="Moderado"),CONCATENATE("R7C",'Mapa final'!#REF!),"")</f>
        <v>#REF!</v>
      </c>
      <c r="AB32" s="52" t="str">
        <f>IF(AND('Mapa final'!$Y$48="Media",'Mapa final'!$AA$48="Mayor"),CONCATENATE("R7C",'Mapa final'!$O$48),"")</f>
        <v/>
      </c>
      <c r="AC32" s="53" t="str">
        <f>IF(AND('Mapa final'!$Y$49="Media",'Mapa final'!$AA$49="Mayor"),CONCATENATE("R7C",'Mapa final'!$O$49),"")</f>
        <v/>
      </c>
      <c r="AD32" s="53" t="e">
        <f>IF(AND('Mapa final'!#REF!="Media",'Mapa final'!#REF!="Mayor"),CONCATENATE("R7C",'Mapa final'!#REF!),"")</f>
        <v>#REF!</v>
      </c>
      <c r="AE32" s="53" t="e">
        <f>IF(AND('Mapa final'!#REF!="Media",'Mapa final'!#REF!="Mayor"),CONCATENATE("R7C",'Mapa final'!#REF!),"")</f>
        <v>#REF!</v>
      </c>
      <c r="AF32" s="53" t="e">
        <f>IF(AND('Mapa final'!#REF!="Media",'Mapa final'!#REF!="Mayor"),CONCATENATE("R7C",'Mapa final'!#REF!),"")</f>
        <v>#REF!</v>
      </c>
      <c r="AG32" s="54" t="e">
        <f>IF(AND('Mapa final'!#REF!="Media",'Mapa final'!#REF!="Mayor"),CONCATENATE("R7C",'Mapa final'!#REF!),"")</f>
        <v>#REF!</v>
      </c>
      <c r="AH32" s="55" t="str">
        <f>IF(AND('Mapa final'!$Y$48="Media",'Mapa final'!$AA$48="Catastrófico"),CONCATENATE("R7C",'Mapa final'!$O$48),"")</f>
        <v/>
      </c>
      <c r="AI32" s="56" t="str">
        <f>IF(AND('Mapa final'!$Y$49="Media",'Mapa final'!$AA$49="Catastrófico"),CONCATENATE("R7C",'Mapa final'!$O$49),"")</f>
        <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3"/>
      <c r="AO32" s="476"/>
      <c r="AP32" s="477"/>
      <c r="AQ32" s="477"/>
      <c r="AR32" s="477"/>
      <c r="AS32" s="477"/>
      <c r="AT32" s="47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395"/>
      <c r="C33" s="395"/>
      <c r="D33" s="396"/>
      <c r="E33" s="436"/>
      <c r="F33" s="437"/>
      <c r="G33" s="437"/>
      <c r="H33" s="437"/>
      <c r="I33" s="438"/>
      <c r="J33" s="67" t="str">
        <f>IF(AND('Mapa final'!$Y$50="Media",'Mapa final'!$AA$50="Leve"),CONCATENATE("R8C",'Mapa final'!$O$50),"")</f>
        <v/>
      </c>
      <c r="K33" s="68" t="str">
        <f>IF(AND('Mapa final'!$Y$51="Media",'Mapa final'!$AA$51="Leve"),CONCATENATE("R8C",'Mapa final'!$O$51),"")</f>
        <v/>
      </c>
      <c r="L33" s="68" t="str">
        <f>IF(AND('Mapa final'!$Y$52="Media",'Mapa final'!$AA$52="Leve"),CONCATENATE("R8C",'Mapa final'!$O$52),"")</f>
        <v/>
      </c>
      <c r="M33" s="68" t="str">
        <f>IF(AND('Mapa final'!$Y$53="Media",'Mapa final'!$AA$53="Leve"),CONCATENATE("R8C",'Mapa final'!$O$53),"")</f>
        <v/>
      </c>
      <c r="N33" s="68" t="str">
        <f>IF(AND('Mapa final'!$Y$54="Media",'Mapa final'!$AA$54="Leve"),CONCATENATE("R8C",'Mapa final'!$O$54),"")</f>
        <v/>
      </c>
      <c r="O33" s="69" t="str">
        <f>IF(AND('Mapa final'!$Y$55="Media",'Mapa final'!$AA$55="Leve"),CONCATENATE("R8C",'Mapa final'!$O$55),"")</f>
        <v/>
      </c>
      <c r="P33" s="67" t="str">
        <f>IF(AND('Mapa final'!$Y$50="Media",'Mapa final'!$AA$50="Menor"),CONCATENATE("R8C",'Mapa final'!$O$50),"")</f>
        <v/>
      </c>
      <c r="Q33" s="68" t="str">
        <f>IF(AND('Mapa final'!$Y$51="Media",'Mapa final'!$AA$51="Menor"),CONCATENATE("R8C",'Mapa final'!$O$51),"")</f>
        <v/>
      </c>
      <c r="R33" s="68" t="str">
        <f>IF(AND('Mapa final'!$Y$52="Media",'Mapa final'!$AA$52="Menor"),CONCATENATE("R8C",'Mapa final'!$O$52),"")</f>
        <v/>
      </c>
      <c r="S33" s="68" t="str">
        <f>IF(AND('Mapa final'!$Y$53="Media",'Mapa final'!$AA$53="Menor"),CONCATENATE("R8C",'Mapa final'!$O$53),"")</f>
        <v/>
      </c>
      <c r="T33" s="68" t="str">
        <f>IF(AND('Mapa final'!$Y$54="Media",'Mapa final'!$AA$54="Menor"),CONCATENATE("R8C",'Mapa final'!$O$54),"")</f>
        <v/>
      </c>
      <c r="U33" s="69" t="str">
        <f>IF(AND('Mapa final'!$Y$55="Media",'Mapa final'!$AA$55="Menor"),CONCATENATE("R8C",'Mapa final'!$O$55),"")</f>
        <v/>
      </c>
      <c r="V33" s="67" t="str">
        <f>IF(AND('Mapa final'!$Y$50="Media",'Mapa final'!$AA$50="Moderado"),CONCATENATE("R8C",'Mapa final'!$O$50),"")</f>
        <v/>
      </c>
      <c r="W33" s="68" t="str">
        <f>IF(AND('Mapa final'!$Y$51="Media",'Mapa final'!$AA$51="Moderado"),CONCATENATE("R8C",'Mapa final'!$O$51),"")</f>
        <v/>
      </c>
      <c r="X33" s="68" t="str">
        <f>IF(AND('Mapa final'!$Y$52="Media",'Mapa final'!$AA$52="Moderado"),CONCATENATE("R8C",'Mapa final'!$O$52),"")</f>
        <v/>
      </c>
      <c r="Y33" s="68" t="str">
        <f>IF(AND('Mapa final'!$Y$53="Media",'Mapa final'!$AA$53="Moderado"),CONCATENATE("R8C",'Mapa final'!$O$53),"")</f>
        <v/>
      </c>
      <c r="Z33" s="68" t="str">
        <f>IF(AND('Mapa final'!$Y$54="Media",'Mapa final'!$AA$54="Moderado"),CONCATENATE("R8C",'Mapa final'!$O$54),"")</f>
        <v/>
      </c>
      <c r="AA33" s="69" t="str">
        <f>IF(AND('Mapa final'!$Y$55="Media",'Mapa final'!$AA$55="Moderado"),CONCATENATE("R8C",'Mapa final'!$O$55),"")</f>
        <v/>
      </c>
      <c r="AB33" s="52" t="str">
        <f>IF(AND('Mapa final'!$Y$50="Media",'Mapa final'!$AA$50="Mayor"),CONCATENATE("R8C",'Mapa final'!$O$50),"")</f>
        <v/>
      </c>
      <c r="AC33" s="53" t="str">
        <f>IF(AND('Mapa final'!$Y$51="Media",'Mapa final'!$AA$51="Mayor"),CONCATENATE("R8C",'Mapa final'!$O$51),"")</f>
        <v/>
      </c>
      <c r="AD33" s="53" t="str">
        <f>IF(AND('Mapa final'!$Y$52="Media",'Mapa final'!$AA$52="Mayor"),CONCATENATE("R8C",'Mapa final'!$O$52),"")</f>
        <v/>
      </c>
      <c r="AE33" s="53" t="str">
        <f>IF(AND('Mapa final'!$Y$53="Media",'Mapa final'!$AA$53="Mayor"),CONCATENATE("R8C",'Mapa final'!$O$53),"")</f>
        <v/>
      </c>
      <c r="AF33" s="53" t="str">
        <f>IF(AND('Mapa final'!$Y$54="Media",'Mapa final'!$AA$54="Mayor"),CONCATENATE("R8C",'Mapa final'!$O$54),"")</f>
        <v/>
      </c>
      <c r="AG33" s="54" t="str">
        <f>IF(AND('Mapa final'!$Y$55="Media",'Mapa final'!$AA$55="Mayor"),CONCATENATE("R8C",'Mapa final'!$O$55),"")</f>
        <v/>
      </c>
      <c r="AH33" s="55" t="str">
        <f>IF(AND('Mapa final'!$Y$50="Media",'Mapa final'!$AA$50="Catastrófico"),CONCATENATE("R8C",'Mapa final'!$O$50),"")</f>
        <v/>
      </c>
      <c r="AI33" s="56" t="str">
        <f>IF(AND('Mapa final'!$Y$51="Media",'Mapa final'!$AA$51="Catastrófico"),CONCATENATE("R8C",'Mapa final'!$O$51),"")</f>
        <v/>
      </c>
      <c r="AJ33" s="56" t="str">
        <f>IF(AND('Mapa final'!$Y$52="Media",'Mapa final'!$AA$52="Catastrófico"),CONCATENATE("R8C",'Mapa final'!$O$52),"")</f>
        <v/>
      </c>
      <c r="AK33" s="56" t="str">
        <f>IF(AND('Mapa final'!$Y$53="Media",'Mapa final'!$AA$53="Catastrófico"),CONCATENATE("R8C",'Mapa final'!$O$53),"")</f>
        <v/>
      </c>
      <c r="AL33" s="56" t="str">
        <f>IF(AND('Mapa final'!$Y$54="Media",'Mapa final'!$AA$54="Catastrófico"),CONCATENATE("R8C",'Mapa final'!$O$54),"")</f>
        <v/>
      </c>
      <c r="AM33" s="57" t="str">
        <f>IF(AND('Mapa final'!$Y$55="Media",'Mapa final'!$AA$55="Catastrófico"),CONCATENATE("R8C",'Mapa final'!$O$55),"")</f>
        <v/>
      </c>
      <c r="AN33" s="83"/>
      <c r="AO33" s="476"/>
      <c r="AP33" s="477"/>
      <c r="AQ33" s="477"/>
      <c r="AR33" s="477"/>
      <c r="AS33" s="477"/>
      <c r="AT33" s="47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395"/>
      <c r="C34" s="395"/>
      <c r="D34" s="396"/>
      <c r="E34" s="436"/>
      <c r="F34" s="437"/>
      <c r="G34" s="437"/>
      <c r="H34" s="437"/>
      <c r="I34" s="438"/>
      <c r="J34" s="67" t="str">
        <f>IF(AND('Mapa final'!$Y$56="Media",'Mapa final'!$AA$56="Leve"),CONCATENATE("R9C",'Mapa final'!$O$56),"")</f>
        <v/>
      </c>
      <c r="K34" s="68" t="str">
        <f>IF(AND('Mapa final'!$Y$57="Media",'Mapa final'!$AA$57="Leve"),CONCATENATE("R9C",'Mapa final'!$O$57),"")</f>
        <v/>
      </c>
      <c r="L34" s="68" t="str">
        <f>IF(AND('Mapa final'!$Y$58="Media",'Mapa final'!$AA$58="Leve"),CONCATENATE("R9C",'Mapa final'!$O$58),"")</f>
        <v/>
      </c>
      <c r="M34" s="68" t="str">
        <f>IF(AND('Mapa final'!$Y$59="Media",'Mapa final'!$AA$59="Leve"),CONCATENATE("R9C",'Mapa final'!$O$59),"")</f>
        <v/>
      </c>
      <c r="N34" s="68" t="str">
        <f>IF(AND('Mapa final'!$Y$60="Media",'Mapa final'!$AA$60="Leve"),CONCATENATE("R9C",'Mapa final'!$O$60),"")</f>
        <v/>
      </c>
      <c r="O34" s="69" t="str">
        <f>IF(AND('Mapa final'!$Y$61="Media",'Mapa final'!$AA$61="Leve"),CONCATENATE("R9C",'Mapa final'!$O$61),"")</f>
        <v/>
      </c>
      <c r="P34" s="67" t="str">
        <f>IF(AND('Mapa final'!$Y$56="Media",'Mapa final'!$AA$56="Menor"),CONCATENATE("R9C",'Mapa final'!$O$56),"")</f>
        <v/>
      </c>
      <c r="Q34" s="68" t="str">
        <f>IF(AND('Mapa final'!$Y$57="Media",'Mapa final'!$AA$57="Menor"),CONCATENATE("R9C",'Mapa final'!$O$57),"")</f>
        <v/>
      </c>
      <c r="R34" s="68" t="str">
        <f>IF(AND('Mapa final'!$Y$58="Media",'Mapa final'!$AA$58="Menor"),CONCATENATE("R9C",'Mapa final'!$O$58),"")</f>
        <v/>
      </c>
      <c r="S34" s="68" t="str">
        <f>IF(AND('Mapa final'!$Y$59="Media",'Mapa final'!$AA$59="Menor"),CONCATENATE("R9C",'Mapa final'!$O$59),"")</f>
        <v/>
      </c>
      <c r="T34" s="68" t="str">
        <f>IF(AND('Mapa final'!$Y$60="Media",'Mapa final'!$AA$60="Menor"),CONCATENATE("R9C",'Mapa final'!$O$60),"")</f>
        <v/>
      </c>
      <c r="U34" s="69" t="str">
        <f>IF(AND('Mapa final'!$Y$61="Media",'Mapa final'!$AA$61="Menor"),CONCATENATE("R9C",'Mapa final'!$O$61),"")</f>
        <v/>
      </c>
      <c r="V34" s="67" t="str">
        <f>IF(AND('Mapa final'!$Y$56="Media",'Mapa final'!$AA$56="Moderado"),CONCATENATE("R9C",'Mapa final'!$O$56),"")</f>
        <v/>
      </c>
      <c r="W34" s="68" t="str">
        <f>IF(AND('Mapa final'!$Y$57="Media",'Mapa final'!$AA$57="Moderado"),CONCATENATE("R9C",'Mapa final'!$O$57),"")</f>
        <v/>
      </c>
      <c r="X34" s="68" t="str">
        <f>IF(AND('Mapa final'!$Y$58="Media",'Mapa final'!$AA$58="Moderado"),CONCATENATE("R9C",'Mapa final'!$O$58),"")</f>
        <v/>
      </c>
      <c r="Y34" s="68" t="str">
        <f>IF(AND('Mapa final'!$Y$59="Media",'Mapa final'!$AA$59="Moderado"),CONCATENATE("R9C",'Mapa final'!$O$59),"")</f>
        <v/>
      </c>
      <c r="Z34" s="68" t="str">
        <f>IF(AND('Mapa final'!$Y$60="Media",'Mapa final'!$AA$60="Moderado"),CONCATENATE("R9C",'Mapa final'!$O$60),"")</f>
        <v/>
      </c>
      <c r="AA34" s="69" t="str">
        <f>IF(AND('Mapa final'!$Y$61="Media",'Mapa final'!$AA$61="Moderado"),CONCATENATE("R9C",'Mapa final'!$O$61),"")</f>
        <v/>
      </c>
      <c r="AB34" s="52" t="str">
        <f>IF(AND('Mapa final'!$Y$56="Media",'Mapa final'!$AA$56="Mayor"),CONCATENATE("R9C",'Mapa final'!$O$56),"")</f>
        <v/>
      </c>
      <c r="AC34" s="53" t="str">
        <f>IF(AND('Mapa final'!$Y$57="Media",'Mapa final'!$AA$57="Mayor"),CONCATENATE("R9C",'Mapa final'!$O$57),"")</f>
        <v/>
      </c>
      <c r="AD34" s="53" t="str">
        <f>IF(AND('Mapa final'!$Y$58="Media",'Mapa final'!$AA$58="Mayor"),CONCATENATE("R9C",'Mapa final'!$O$58),"")</f>
        <v/>
      </c>
      <c r="AE34" s="53" t="str">
        <f>IF(AND('Mapa final'!$Y$59="Media",'Mapa final'!$AA$59="Mayor"),CONCATENATE("R9C",'Mapa final'!$O$59),"")</f>
        <v/>
      </c>
      <c r="AF34" s="53" t="str">
        <f>IF(AND('Mapa final'!$Y$60="Media",'Mapa final'!$AA$60="Mayor"),CONCATENATE("R9C",'Mapa final'!$O$60),"")</f>
        <v/>
      </c>
      <c r="AG34" s="54" t="str">
        <f>IF(AND('Mapa final'!$Y$61="Media",'Mapa final'!$AA$61="Mayor"),CONCATENATE("R9C",'Mapa final'!$O$61),"")</f>
        <v/>
      </c>
      <c r="AH34" s="55" t="str">
        <f>IF(AND('Mapa final'!$Y$56="Media",'Mapa final'!$AA$56="Catastrófico"),CONCATENATE("R9C",'Mapa final'!$O$56),"")</f>
        <v/>
      </c>
      <c r="AI34" s="56" t="str">
        <f>IF(AND('Mapa final'!$Y$57="Media",'Mapa final'!$AA$57="Catastrófico"),CONCATENATE("R9C",'Mapa final'!$O$57),"")</f>
        <v/>
      </c>
      <c r="AJ34" s="56" t="str">
        <f>IF(AND('Mapa final'!$Y$58="Media",'Mapa final'!$AA$58="Catastrófico"),CONCATENATE("R9C",'Mapa final'!$O$58),"")</f>
        <v/>
      </c>
      <c r="AK34" s="56" t="str">
        <f>IF(AND('Mapa final'!$Y$59="Media",'Mapa final'!$AA$59="Catastrófico"),CONCATENATE("R9C",'Mapa final'!$O$59),"")</f>
        <v/>
      </c>
      <c r="AL34" s="56" t="str">
        <f>IF(AND('Mapa final'!$Y$60="Media",'Mapa final'!$AA$60="Catastrófico"),CONCATENATE("R9C",'Mapa final'!$O$60),"")</f>
        <v/>
      </c>
      <c r="AM34" s="57" t="str">
        <f>IF(AND('Mapa final'!$Y$61="Media",'Mapa final'!$AA$61="Catastrófico"),CONCATENATE("R9C",'Mapa final'!$O$61),"")</f>
        <v/>
      </c>
      <c r="AN34" s="83"/>
      <c r="AO34" s="476"/>
      <c r="AP34" s="477"/>
      <c r="AQ34" s="477"/>
      <c r="AR34" s="477"/>
      <c r="AS34" s="477"/>
      <c r="AT34" s="47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395"/>
      <c r="C35" s="395"/>
      <c r="D35" s="396"/>
      <c r="E35" s="439"/>
      <c r="F35" s="440"/>
      <c r="G35" s="440"/>
      <c r="H35" s="440"/>
      <c r="I35" s="441"/>
      <c r="J35" s="67" t="str">
        <f>IF(AND('Mapa final'!$Y$62="Media",'Mapa final'!$AA$62="Leve"),CONCATENATE("R10C",'Mapa final'!$O$62),"")</f>
        <v/>
      </c>
      <c r="K35" s="68" t="str">
        <f>IF(AND('Mapa final'!$Y$63="Media",'Mapa final'!$AA$63="Leve"),CONCATENATE("R10C",'Mapa final'!$O$63),"")</f>
        <v/>
      </c>
      <c r="L35" s="68" t="str">
        <f>IF(AND('Mapa final'!$Y$64="Media",'Mapa final'!$AA$64="Leve"),CONCATENATE("R10C",'Mapa final'!$O$64),"")</f>
        <v/>
      </c>
      <c r="M35" s="68" t="str">
        <f>IF(AND('Mapa final'!$Y$65="Media",'Mapa final'!$AA$65="Leve"),CONCATENATE("R10C",'Mapa final'!$O$65),"")</f>
        <v/>
      </c>
      <c r="N35" s="68" t="str">
        <f>IF(AND('Mapa final'!$Y$66="Media",'Mapa final'!$AA$66="Leve"),CONCATENATE("R10C",'Mapa final'!$O$66),"")</f>
        <v/>
      </c>
      <c r="O35" s="69" t="str">
        <f>IF(AND('Mapa final'!$Y$67="Media",'Mapa final'!$AA$67="Leve"),CONCATENATE("R10C",'Mapa final'!$O$67),"")</f>
        <v/>
      </c>
      <c r="P35" s="67" t="str">
        <f>IF(AND('Mapa final'!$Y$62="Media",'Mapa final'!$AA$62="Menor"),CONCATENATE("R10C",'Mapa final'!$O$62),"")</f>
        <v/>
      </c>
      <c r="Q35" s="68" t="str">
        <f>IF(AND('Mapa final'!$Y$63="Media",'Mapa final'!$AA$63="Menor"),CONCATENATE("R10C",'Mapa final'!$O$63),"")</f>
        <v/>
      </c>
      <c r="R35" s="68" t="str">
        <f>IF(AND('Mapa final'!$Y$64="Media",'Mapa final'!$AA$64="Menor"),CONCATENATE("R10C",'Mapa final'!$O$64),"")</f>
        <v/>
      </c>
      <c r="S35" s="68" t="str">
        <f>IF(AND('Mapa final'!$Y$65="Media",'Mapa final'!$AA$65="Menor"),CONCATENATE("R10C",'Mapa final'!$O$65),"")</f>
        <v/>
      </c>
      <c r="T35" s="68" t="str">
        <f>IF(AND('Mapa final'!$Y$66="Media",'Mapa final'!$AA$66="Menor"),CONCATENATE("R10C",'Mapa final'!$O$66),"")</f>
        <v/>
      </c>
      <c r="U35" s="69" t="str">
        <f>IF(AND('Mapa final'!$Y$67="Media",'Mapa final'!$AA$67="Menor"),CONCATENATE("R10C",'Mapa final'!$O$67),"")</f>
        <v/>
      </c>
      <c r="V35" s="67" t="str">
        <f>IF(AND('Mapa final'!$Y$62="Media",'Mapa final'!$AA$62="Moderado"),CONCATENATE("R10C",'Mapa final'!$O$62),"")</f>
        <v/>
      </c>
      <c r="W35" s="68" t="str">
        <f>IF(AND('Mapa final'!$Y$63="Media",'Mapa final'!$AA$63="Moderado"),CONCATENATE("R10C",'Mapa final'!$O$63),"")</f>
        <v/>
      </c>
      <c r="X35" s="68" t="str">
        <f>IF(AND('Mapa final'!$Y$64="Media",'Mapa final'!$AA$64="Moderado"),CONCATENATE("R10C",'Mapa final'!$O$64),"")</f>
        <v/>
      </c>
      <c r="Y35" s="68" t="str">
        <f>IF(AND('Mapa final'!$Y$65="Media",'Mapa final'!$AA$65="Moderado"),CONCATENATE("R10C",'Mapa final'!$O$65),"")</f>
        <v/>
      </c>
      <c r="Z35" s="68" t="str">
        <f>IF(AND('Mapa final'!$Y$66="Media",'Mapa final'!$AA$66="Moderado"),CONCATENATE("R10C",'Mapa final'!$O$66),"")</f>
        <v/>
      </c>
      <c r="AA35" s="69" t="str">
        <f>IF(AND('Mapa final'!$Y$67="Media",'Mapa final'!$AA$67="Moderado"),CONCATENATE("R10C",'Mapa final'!$O$67),"")</f>
        <v/>
      </c>
      <c r="AB35" s="58" t="str">
        <f>IF(AND('Mapa final'!$Y$62="Media",'Mapa final'!$AA$62="Mayor"),CONCATENATE("R10C",'Mapa final'!$O$62),"")</f>
        <v/>
      </c>
      <c r="AC35" s="59" t="str">
        <f>IF(AND('Mapa final'!$Y$63="Media",'Mapa final'!$AA$63="Mayor"),CONCATENATE("R10C",'Mapa final'!$O$63),"")</f>
        <v/>
      </c>
      <c r="AD35" s="59" t="str">
        <f>IF(AND('Mapa final'!$Y$64="Media",'Mapa final'!$AA$64="Mayor"),CONCATENATE("R10C",'Mapa final'!$O$64),"")</f>
        <v/>
      </c>
      <c r="AE35" s="59" t="str">
        <f>IF(AND('Mapa final'!$Y$65="Media",'Mapa final'!$AA$65="Mayor"),CONCATENATE("R10C",'Mapa final'!$O$65),"")</f>
        <v/>
      </c>
      <c r="AF35" s="59" t="str">
        <f>IF(AND('Mapa final'!$Y$66="Media",'Mapa final'!$AA$66="Mayor"),CONCATENATE("R10C",'Mapa final'!$O$66),"")</f>
        <v/>
      </c>
      <c r="AG35" s="60" t="str">
        <f>IF(AND('Mapa final'!$Y$67="Media",'Mapa final'!$AA$67="Mayor"),CONCATENATE("R10C",'Mapa final'!$O$67),"")</f>
        <v/>
      </c>
      <c r="AH35" s="61" t="str">
        <f>IF(AND('Mapa final'!$Y$62="Media",'Mapa final'!$AA$62="Catastrófico"),CONCATENATE("R10C",'Mapa final'!$O$62),"")</f>
        <v/>
      </c>
      <c r="AI35" s="62" t="str">
        <f>IF(AND('Mapa final'!$Y$63="Media",'Mapa final'!$AA$63="Catastrófico"),CONCATENATE("R10C",'Mapa final'!$O$63),"")</f>
        <v/>
      </c>
      <c r="AJ35" s="62" t="str">
        <f>IF(AND('Mapa final'!$Y$64="Media",'Mapa final'!$AA$64="Catastrófico"),CONCATENATE("R10C",'Mapa final'!$O$64),"")</f>
        <v/>
      </c>
      <c r="AK35" s="62" t="str">
        <f>IF(AND('Mapa final'!$Y$65="Media",'Mapa final'!$AA$65="Catastrófico"),CONCATENATE("R10C",'Mapa final'!$O$65),"")</f>
        <v/>
      </c>
      <c r="AL35" s="62" t="str">
        <f>IF(AND('Mapa final'!$Y$66="Media",'Mapa final'!$AA$66="Catastrófico"),CONCATENATE("R10C",'Mapa final'!$O$66),"")</f>
        <v/>
      </c>
      <c r="AM35" s="63" t="str">
        <f>IF(AND('Mapa final'!$Y$67="Media",'Mapa final'!$AA$67="Catastrófico"),CONCATENATE("R10C",'Mapa final'!$O$67),"")</f>
        <v/>
      </c>
      <c r="AN35" s="83"/>
      <c r="AO35" s="479"/>
      <c r="AP35" s="480"/>
      <c r="AQ35" s="480"/>
      <c r="AR35" s="480"/>
      <c r="AS35" s="480"/>
      <c r="AT35" s="48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395"/>
      <c r="C36" s="395"/>
      <c r="D36" s="396"/>
      <c r="E36" s="433" t="s">
        <v>98</v>
      </c>
      <c r="F36" s="434"/>
      <c r="G36" s="434"/>
      <c r="H36" s="434"/>
      <c r="I36" s="434"/>
      <c r="J36" s="73" t="str">
        <f>IF(AND('Mapa final'!$Y$24="Baja",'Mapa final'!$AA$24="Leve"),CONCATENATE("R1C",'Mapa final'!$O$24),"")</f>
        <v/>
      </c>
      <c r="K36" s="74" t="str">
        <f>IF(AND('Mapa final'!$Y$25="Baja",'Mapa final'!$AA$25="Leve"),CONCATENATE("R1C",'Mapa final'!$O$25),"")</f>
        <v/>
      </c>
      <c r="L36" s="74" t="e">
        <f>IF(AND('Mapa final'!#REF!="Baja",'Mapa final'!#REF!="Leve"),CONCATENATE("R1C",'Mapa final'!#REF!),"")</f>
        <v>#REF!</v>
      </c>
      <c r="M36" s="74" t="e">
        <f>IF(AND('Mapa final'!#REF!="Baja",'Mapa final'!#REF!="Leve"),CONCATENATE("R1C",'Mapa final'!#REF!),"")</f>
        <v>#REF!</v>
      </c>
      <c r="N36" s="74" t="e">
        <f>IF(AND('Mapa final'!#REF!="Baja",'Mapa final'!#REF!="Leve"),CONCATENATE("R1C",'Mapa final'!#REF!),"")</f>
        <v>#REF!</v>
      </c>
      <c r="O36" s="75" t="e">
        <f>IF(AND('Mapa final'!#REF!="Baja",'Mapa final'!#REF!="Leve"),CONCATENATE("R1C",'Mapa final'!#REF!),"")</f>
        <v>#REF!</v>
      </c>
      <c r="P36" s="64" t="str">
        <f>IF(AND('Mapa final'!$Y$24="Baja",'Mapa final'!$AA$24="Menor"),CONCATENATE("R1C",'Mapa final'!$O$24),"")</f>
        <v/>
      </c>
      <c r="Q36" s="65" t="str">
        <f>IF(AND('Mapa final'!$Y$25="Baja",'Mapa final'!$AA$25="Menor"),CONCATENATE("R1C",'Mapa final'!$O$25),"")</f>
        <v/>
      </c>
      <c r="R36" s="65" t="e">
        <f>IF(AND('Mapa final'!#REF!="Baja",'Mapa final'!#REF!="Menor"),CONCATENATE("R1C",'Mapa final'!#REF!),"")</f>
        <v>#REF!</v>
      </c>
      <c r="S36" s="65" t="e">
        <f>IF(AND('Mapa final'!#REF!="Baja",'Mapa final'!#REF!="Menor"),CONCATENATE("R1C",'Mapa final'!#REF!),"")</f>
        <v>#REF!</v>
      </c>
      <c r="T36" s="65" t="e">
        <f>IF(AND('Mapa final'!#REF!="Baja",'Mapa final'!#REF!="Menor"),CONCATENATE("R1C",'Mapa final'!#REF!),"")</f>
        <v>#REF!</v>
      </c>
      <c r="U36" s="66" t="e">
        <f>IF(AND('Mapa final'!#REF!="Baja",'Mapa final'!#REF!="Menor"),CONCATENATE("R1C",'Mapa final'!#REF!),"")</f>
        <v>#REF!</v>
      </c>
      <c r="V36" s="64" t="str">
        <f>IF(AND('Mapa final'!$Y$24="Baja",'Mapa final'!$AA$24="Moderado"),CONCATENATE("R1C",'Mapa final'!$O$24),"")</f>
        <v/>
      </c>
      <c r="W36" s="65" t="str">
        <f>IF(AND('Mapa final'!$Y$25="Baja",'Mapa final'!$AA$25="Moderado"),CONCATENATE("R1C",'Mapa final'!$O$25),"")</f>
        <v/>
      </c>
      <c r="X36" s="65" t="e">
        <f>IF(AND('Mapa final'!#REF!="Baja",'Mapa final'!#REF!="Moderado"),CONCATENATE("R1C",'Mapa final'!#REF!),"")</f>
        <v>#REF!</v>
      </c>
      <c r="Y36" s="65" t="e">
        <f>IF(AND('Mapa final'!#REF!="Baja",'Mapa final'!#REF!="Moderado"),CONCATENATE("R1C",'Mapa final'!#REF!),"")</f>
        <v>#REF!</v>
      </c>
      <c r="Z36" s="65" t="e">
        <f>IF(AND('Mapa final'!#REF!="Baja",'Mapa final'!#REF!="Moderado"),CONCATENATE("R1C",'Mapa final'!#REF!),"")</f>
        <v>#REF!</v>
      </c>
      <c r="AA36" s="66" t="e">
        <f>IF(AND('Mapa final'!#REF!="Baja",'Mapa final'!#REF!="Moderado"),CONCATENATE("R1C",'Mapa final'!#REF!),"")</f>
        <v>#REF!</v>
      </c>
      <c r="AB36" s="46" t="str">
        <f>IF(AND('Mapa final'!$Y$24="Baja",'Mapa final'!$AA$24="Mayor"),CONCATENATE("R1C",'Mapa final'!$O$24),"")</f>
        <v/>
      </c>
      <c r="AC36" s="47" t="str">
        <f>IF(AND('Mapa final'!$Y$25="Baja",'Mapa final'!$AA$25="Mayor"),CONCATENATE("R1C",'Mapa final'!$O$25),"")</f>
        <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final'!$Y$24="Baja",'Mapa final'!$AA$24="Catastrófico"),CONCATENATE("R1C",'Mapa final'!$O$24),"")</f>
        <v/>
      </c>
      <c r="AI36" s="50" t="str">
        <f>IF(AND('Mapa final'!$Y$25="Baja",'Mapa final'!$AA$25="Catastrófico"),CONCATENATE("R1C",'Mapa final'!$O$25),"")</f>
        <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3"/>
      <c r="AO36" s="464" t="s">
        <v>99</v>
      </c>
      <c r="AP36" s="465"/>
      <c r="AQ36" s="465"/>
      <c r="AR36" s="465"/>
      <c r="AS36" s="465"/>
      <c r="AT36" s="46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395"/>
      <c r="C37" s="395"/>
      <c r="D37" s="396"/>
      <c r="E37" s="452"/>
      <c r="F37" s="437"/>
      <c r="G37" s="437"/>
      <c r="H37" s="437"/>
      <c r="I37" s="437"/>
      <c r="J37" s="76" t="str">
        <f>IF(AND('Mapa final'!$Y$26="Baja",'Mapa final'!$AA$26="Leve"),CONCATENATE("R2C",'Mapa final'!$O$26),"")</f>
        <v/>
      </c>
      <c r="K37" s="77" t="e">
        <f>IF(AND('Mapa final'!#REF!="Baja",'Mapa final'!#REF!="Leve"),CONCATENATE("R2C",'Mapa final'!#REF!),"")</f>
        <v>#REF!</v>
      </c>
      <c r="L37" s="77" t="e">
        <f>IF(AND('Mapa final'!#REF!="Baja",'Mapa final'!#REF!="Leve"),CONCATENATE("R2C",'Mapa final'!#REF!),"")</f>
        <v>#REF!</v>
      </c>
      <c r="M37" s="77" t="e">
        <f>IF(AND('Mapa final'!#REF!="Baja",'Mapa final'!#REF!="Leve"),CONCATENATE("R2C",'Mapa final'!#REF!),"")</f>
        <v>#REF!</v>
      </c>
      <c r="N37" s="77" t="e">
        <f>IF(AND('Mapa final'!#REF!="Baja",'Mapa final'!#REF!="Leve"),CONCATENATE("R2C",'Mapa final'!#REF!),"")</f>
        <v>#REF!</v>
      </c>
      <c r="O37" s="78" t="e">
        <f>IF(AND('Mapa final'!#REF!="Baja",'Mapa final'!#REF!="Leve"),CONCATENATE("R2C",'Mapa final'!#REF!),"")</f>
        <v>#REF!</v>
      </c>
      <c r="P37" s="67" t="str">
        <f>IF(AND('Mapa final'!$Y$26="Baja",'Mapa final'!$AA$26="Menor"),CONCATENATE("R2C",'Mapa final'!$O$26),"")</f>
        <v/>
      </c>
      <c r="Q37" s="68" t="e">
        <f>IF(AND('Mapa final'!#REF!="Baja",'Mapa final'!#REF!="Menor"),CONCATENATE("R2C",'Mapa final'!#REF!),"")</f>
        <v>#REF!</v>
      </c>
      <c r="R37" s="68" t="e">
        <f>IF(AND('Mapa final'!#REF!="Baja",'Mapa final'!#REF!="Menor"),CONCATENATE("R2C",'Mapa final'!#REF!),"")</f>
        <v>#REF!</v>
      </c>
      <c r="S37" s="68" t="e">
        <f>IF(AND('Mapa final'!#REF!="Baja",'Mapa final'!#REF!="Menor"),CONCATENATE("R2C",'Mapa final'!#REF!),"")</f>
        <v>#REF!</v>
      </c>
      <c r="T37" s="68" t="e">
        <f>IF(AND('Mapa final'!#REF!="Baja",'Mapa final'!#REF!="Menor"),CONCATENATE("R2C",'Mapa final'!#REF!),"")</f>
        <v>#REF!</v>
      </c>
      <c r="U37" s="69" t="e">
        <f>IF(AND('Mapa final'!#REF!="Baja",'Mapa final'!#REF!="Menor"),CONCATENATE("R2C",'Mapa final'!#REF!),"")</f>
        <v>#REF!</v>
      </c>
      <c r="V37" s="67" t="str">
        <f>IF(AND('Mapa final'!$Y$26="Baja",'Mapa final'!$AA$26="Moderado"),CONCATENATE("R2C",'Mapa final'!$O$26),"")</f>
        <v/>
      </c>
      <c r="W37" s="68" t="e">
        <f>IF(AND('Mapa final'!#REF!="Baja",'Mapa final'!#REF!="Moderado"),CONCATENATE("R2C",'Mapa final'!#REF!),"")</f>
        <v>#REF!</v>
      </c>
      <c r="X37" s="68" t="e">
        <f>IF(AND('Mapa final'!#REF!="Baja",'Mapa final'!#REF!="Moderado"),CONCATENATE("R2C",'Mapa final'!#REF!),"")</f>
        <v>#REF!</v>
      </c>
      <c r="Y37" s="68" t="e">
        <f>IF(AND('Mapa final'!#REF!="Baja",'Mapa final'!#REF!="Moderado"),CONCATENATE("R2C",'Mapa final'!#REF!),"")</f>
        <v>#REF!</v>
      </c>
      <c r="Z37" s="68" t="e">
        <f>IF(AND('Mapa final'!#REF!="Baja",'Mapa final'!#REF!="Moderado"),CONCATENATE("R2C",'Mapa final'!#REF!),"")</f>
        <v>#REF!</v>
      </c>
      <c r="AA37" s="69" t="e">
        <f>IF(AND('Mapa final'!#REF!="Baja",'Mapa final'!#REF!="Moderado"),CONCATENATE("R2C",'Mapa final'!#REF!),"")</f>
        <v>#REF!</v>
      </c>
      <c r="AB37" s="52" t="str">
        <f>IF(AND('Mapa final'!$Y$26="Baja",'Mapa final'!$AA$26="Mayor"),CONCATENATE("R2C",'Mapa final'!$O$26),"")</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final'!$Y$26="Baja",'Mapa final'!$AA$26="Catastrófico"),CONCATENATE("R2C",'Mapa final'!$O$26),"")</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3"/>
      <c r="AO37" s="467"/>
      <c r="AP37" s="468"/>
      <c r="AQ37" s="468"/>
      <c r="AR37" s="468"/>
      <c r="AS37" s="468"/>
      <c r="AT37" s="46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395"/>
      <c r="C38" s="395"/>
      <c r="D38" s="396"/>
      <c r="E38" s="436"/>
      <c r="F38" s="437"/>
      <c r="G38" s="437"/>
      <c r="H38" s="437"/>
      <c r="I38" s="437"/>
      <c r="J38" s="76" t="str">
        <f>IF(AND('Mapa final'!$Y$27="Baja",'Mapa final'!$AA$27="Leve"),CONCATENATE("R3C",'Mapa final'!$O$27),"")</f>
        <v/>
      </c>
      <c r="K38" s="77" t="str">
        <f>IF(AND('Mapa final'!$Y$28="Baja",'Mapa final'!$AA$28="Leve"),CONCATENATE("R3C",'Mapa final'!$O$28),"")</f>
        <v/>
      </c>
      <c r="L38" s="77" t="str">
        <f>IF(AND('Mapa final'!$Y$29="Baja",'Mapa final'!$AA$29="Leve"),CONCATENATE("R3C",'Mapa final'!$O$29),"")</f>
        <v/>
      </c>
      <c r="M38" s="77" t="e">
        <f>IF(AND('Mapa final'!#REF!="Baja",'Mapa final'!#REF!="Leve"),CONCATENATE("R3C",'Mapa final'!#REF!),"")</f>
        <v>#REF!</v>
      </c>
      <c r="N38" s="77" t="e">
        <f>IF(AND('Mapa final'!#REF!="Baja",'Mapa final'!#REF!="Leve"),CONCATENATE("R3C",'Mapa final'!#REF!),"")</f>
        <v>#REF!</v>
      </c>
      <c r="O38" s="78" t="e">
        <f>IF(AND('Mapa final'!#REF!="Baja",'Mapa final'!#REF!="Leve"),CONCATENATE("R3C",'Mapa final'!#REF!),"")</f>
        <v>#REF!</v>
      </c>
      <c r="P38" s="67" t="str">
        <f>IF(AND('Mapa final'!$Y$27="Baja",'Mapa final'!$AA$27="Menor"),CONCATENATE("R3C",'Mapa final'!$O$27),"")</f>
        <v/>
      </c>
      <c r="Q38" s="68" t="str">
        <f>IF(AND('Mapa final'!$Y$28="Baja",'Mapa final'!$AA$28="Menor"),CONCATENATE("R3C",'Mapa final'!$O$28),"")</f>
        <v/>
      </c>
      <c r="R38" s="68" t="str">
        <f>IF(AND('Mapa final'!$Y$29="Baja",'Mapa final'!$AA$29="Menor"),CONCATENATE("R3C",'Mapa final'!$O$29),"")</f>
        <v/>
      </c>
      <c r="S38" s="68" t="e">
        <f>IF(AND('Mapa final'!#REF!="Baja",'Mapa final'!#REF!="Menor"),CONCATENATE("R3C",'Mapa final'!#REF!),"")</f>
        <v>#REF!</v>
      </c>
      <c r="T38" s="68" t="e">
        <f>IF(AND('Mapa final'!#REF!="Baja",'Mapa final'!#REF!="Menor"),CONCATENATE("R3C",'Mapa final'!#REF!),"")</f>
        <v>#REF!</v>
      </c>
      <c r="U38" s="69" t="e">
        <f>IF(AND('Mapa final'!#REF!="Baja",'Mapa final'!#REF!="Menor"),CONCATENATE("R3C",'Mapa final'!#REF!),"")</f>
        <v>#REF!</v>
      </c>
      <c r="V38" s="67" t="str">
        <f>IF(AND('Mapa final'!$Y$27="Baja",'Mapa final'!$AA$27="Moderado"),CONCATENATE("R3C",'Mapa final'!$O$27),"")</f>
        <v/>
      </c>
      <c r="W38" s="68" t="str">
        <f>IF(AND('Mapa final'!$Y$28="Baja",'Mapa final'!$AA$28="Moderado"),CONCATENATE("R3C",'Mapa final'!$O$28),"")</f>
        <v/>
      </c>
      <c r="X38" s="68" t="str">
        <f>IF(AND('Mapa final'!$Y$29="Baja",'Mapa final'!$AA$29="Moderado"),CONCATENATE("R3C",'Mapa final'!$O$29),"")</f>
        <v/>
      </c>
      <c r="Y38" s="68" t="e">
        <f>IF(AND('Mapa final'!#REF!="Baja",'Mapa final'!#REF!="Moderado"),CONCATENATE("R3C",'Mapa final'!#REF!),"")</f>
        <v>#REF!</v>
      </c>
      <c r="Z38" s="68" t="e">
        <f>IF(AND('Mapa final'!#REF!="Baja",'Mapa final'!#REF!="Moderado"),CONCATENATE("R3C",'Mapa final'!#REF!),"")</f>
        <v>#REF!</v>
      </c>
      <c r="AA38" s="69" t="e">
        <f>IF(AND('Mapa final'!#REF!="Baja",'Mapa final'!#REF!="Moderado"),CONCATENATE("R3C",'Mapa final'!#REF!),"")</f>
        <v>#REF!</v>
      </c>
      <c r="AB38" s="52" t="str">
        <f>IF(AND('Mapa final'!$Y$27="Baja",'Mapa final'!$AA$27="Mayor"),CONCATENATE("R3C",'Mapa final'!$O$27),"")</f>
        <v/>
      </c>
      <c r="AC38" s="53" t="str">
        <f>IF(AND('Mapa final'!$Y$28="Baja",'Mapa final'!$AA$28="Mayor"),CONCATENATE("R3C",'Mapa final'!$O$28),"")</f>
        <v/>
      </c>
      <c r="AD38" s="53" t="str">
        <f>IF(AND('Mapa final'!$Y$29="Baja",'Mapa final'!$AA$29="Mayor"),CONCATENATE("R3C",'Mapa final'!$O$29),"")</f>
        <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final'!$Y$27="Baja",'Mapa final'!$AA$27="Catastrófico"),CONCATENATE("R3C",'Mapa final'!$O$27),"")</f>
        <v/>
      </c>
      <c r="AI38" s="56" t="str">
        <f>IF(AND('Mapa final'!$Y$28="Baja",'Mapa final'!$AA$28="Catastrófico"),CONCATENATE("R3C",'Mapa final'!$O$28),"")</f>
        <v/>
      </c>
      <c r="AJ38" s="56" t="str">
        <f>IF(AND('Mapa final'!$Y$29="Baja",'Mapa final'!$AA$29="Catastrófico"),CONCATENATE("R3C",'Mapa final'!$O$29),"")</f>
        <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3"/>
      <c r="AO38" s="467"/>
      <c r="AP38" s="468"/>
      <c r="AQ38" s="468"/>
      <c r="AR38" s="468"/>
      <c r="AS38" s="468"/>
      <c r="AT38" s="469"/>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395"/>
      <c r="C39" s="395"/>
      <c r="D39" s="396"/>
      <c r="E39" s="436"/>
      <c r="F39" s="437"/>
      <c r="G39" s="437"/>
      <c r="H39" s="437"/>
      <c r="I39" s="437"/>
      <c r="J39" s="76" t="str">
        <f>IF(AND('Mapa final'!$Y$30="Baja",'Mapa final'!$AA$30="Leve"),CONCATENATE("R4C",'Mapa final'!$O$30),"")</f>
        <v/>
      </c>
      <c r="K39" s="77" t="str">
        <f>IF(AND('Mapa final'!$Y$31="Baja",'Mapa final'!$AA$31="Leve"),CONCATENATE("R4C",'Mapa final'!$O$31),"")</f>
        <v/>
      </c>
      <c r="L39" s="77" t="str">
        <f>IF(AND('Mapa final'!$Y$32="Baja",'Mapa final'!$AA$32="Leve"),CONCATENATE("R4C",'Mapa final'!$O$32),"")</f>
        <v/>
      </c>
      <c r="M39" s="77" t="str">
        <f>IF(AND('Mapa final'!$Y$33="Baja",'Mapa final'!$AA$33="Leve"),CONCATENATE("R4C",'Mapa final'!$O$33),"")</f>
        <v/>
      </c>
      <c r="N39" s="77" t="str">
        <f>IF(AND('Mapa final'!$Y$34="Baja",'Mapa final'!$AA$34="Leve"),CONCATENATE("R4C",'Mapa final'!$O$34),"")</f>
        <v/>
      </c>
      <c r="O39" s="78" t="str">
        <f>IF(AND('Mapa final'!$Y$35="Baja",'Mapa final'!$AA$35="Leve"),CONCATENATE("R4C",'Mapa final'!$O$35),"")</f>
        <v/>
      </c>
      <c r="P39" s="67" t="str">
        <f>IF(AND('Mapa final'!$Y$30="Baja",'Mapa final'!$AA$30="Menor"),CONCATENATE("R4C",'Mapa final'!$O$30),"")</f>
        <v/>
      </c>
      <c r="Q39" s="68" t="str">
        <f>IF(AND('Mapa final'!$Y$31="Baja",'Mapa final'!$AA$31="Menor"),CONCATENATE("R4C",'Mapa final'!$O$31),"")</f>
        <v/>
      </c>
      <c r="R39" s="68" t="str">
        <f>IF(AND('Mapa final'!$Y$32="Baja",'Mapa final'!$AA$32="Menor"),CONCATENATE("R4C",'Mapa final'!$O$32),"")</f>
        <v/>
      </c>
      <c r="S39" s="68" t="str">
        <f>IF(AND('Mapa final'!$Y$33="Baja",'Mapa final'!$AA$33="Menor"),CONCATENATE("R4C",'Mapa final'!$O$33),"")</f>
        <v/>
      </c>
      <c r="T39" s="68" t="str">
        <f>IF(AND('Mapa final'!$Y$34="Baja",'Mapa final'!$AA$34="Menor"),CONCATENATE("R4C",'Mapa final'!$O$34),"")</f>
        <v/>
      </c>
      <c r="U39" s="69" t="str">
        <f>IF(AND('Mapa final'!$Y$35="Baja",'Mapa final'!$AA$35="Menor"),CONCATENATE("R4C",'Mapa final'!$O$35),"")</f>
        <v/>
      </c>
      <c r="V39" s="67" t="str">
        <f>IF(AND('Mapa final'!$Y$30="Baja",'Mapa final'!$AA$30="Moderado"),CONCATENATE("R4C",'Mapa final'!$O$30),"")</f>
        <v/>
      </c>
      <c r="W39" s="68" t="str">
        <f>IF(AND('Mapa final'!$Y$31="Baja",'Mapa final'!$AA$31="Moderado"),CONCATENATE("R4C",'Mapa final'!$O$31),"")</f>
        <v/>
      </c>
      <c r="X39" s="68" t="str">
        <f>IF(AND('Mapa final'!$Y$32="Baja",'Mapa final'!$AA$32="Moderado"),CONCATENATE("R4C",'Mapa final'!$O$32),"")</f>
        <v/>
      </c>
      <c r="Y39" s="68" t="str">
        <f>IF(AND('Mapa final'!$Y$33="Baja",'Mapa final'!$AA$33="Moderado"),CONCATENATE("R4C",'Mapa final'!$O$33),"")</f>
        <v/>
      </c>
      <c r="Z39" s="68" t="str">
        <f>IF(AND('Mapa final'!$Y$34="Baja",'Mapa final'!$AA$34="Moderado"),CONCATENATE("R4C",'Mapa final'!$O$34),"")</f>
        <v/>
      </c>
      <c r="AA39" s="69" t="str">
        <f>IF(AND('Mapa final'!$Y$35="Baja",'Mapa final'!$AA$35="Moderado"),CONCATENATE("R4C",'Mapa final'!$O$35),"")</f>
        <v/>
      </c>
      <c r="AB39" s="52" t="str">
        <f>IF(AND('Mapa final'!$Y$30="Baja",'Mapa final'!$AA$30="Mayor"),CONCATENATE("R4C",'Mapa final'!$O$30),"")</f>
        <v/>
      </c>
      <c r="AC39" s="53" t="str">
        <f>IF(AND('Mapa final'!$Y$31="Baja",'Mapa final'!$AA$31="Mayor"),CONCATENATE("R4C",'Mapa final'!$O$31),"")</f>
        <v/>
      </c>
      <c r="AD39" s="53" t="str">
        <f>IF(AND('Mapa final'!$Y$32="Baja",'Mapa final'!$AA$32="Mayor"),CONCATENATE("R4C",'Mapa final'!$O$32),"")</f>
        <v/>
      </c>
      <c r="AE39" s="53" t="str">
        <f>IF(AND('Mapa final'!$Y$33="Baja",'Mapa final'!$AA$33="Mayor"),CONCATENATE("R4C",'Mapa final'!$O$33),"")</f>
        <v/>
      </c>
      <c r="AF39" s="53" t="str">
        <f>IF(AND('Mapa final'!$Y$34="Baja",'Mapa final'!$AA$34="Mayor"),CONCATENATE("R4C",'Mapa final'!$O$34),"")</f>
        <v/>
      </c>
      <c r="AG39" s="54" t="str">
        <f>IF(AND('Mapa final'!$Y$35="Baja",'Mapa final'!$AA$35="Mayor"),CONCATENATE("R4C",'Mapa final'!$O$35),"")</f>
        <v/>
      </c>
      <c r="AH39" s="55" t="str">
        <f>IF(AND('Mapa final'!$Y$30="Baja",'Mapa final'!$AA$30="Catastrófico"),CONCATENATE("R4C",'Mapa final'!$O$30),"")</f>
        <v/>
      </c>
      <c r="AI39" s="56" t="str">
        <f>IF(AND('Mapa final'!$Y$31="Baja",'Mapa final'!$AA$31="Catastrófico"),CONCATENATE("R4C",'Mapa final'!$O$31),"")</f>
        <v/>
      </c>
      <c r="AJ39" s="56" t="str">
        <f>IF(AND('Mapa final'!$Y$32="Baja",'Mapa final'!$AA$32="Catastrófico"),CONCATENATE("R4C",'Mapa final'!$O$32),"")</f>
        <v/>
      </c>
      <c r="AK39" s="56" t="str">
        <f>IF(AND('Mapa final'!$Y$33="Baja",'Mapa final'!$AA$33="Catastrófico"),CONCATENATE("R4C",'Mapa final'!$O$33),"")</f>
        <v/>
      </c>
      <c r="AL39" s="56" t="str">
        <f>IF(AND('Mapa final'!$Y$34="Baja",'Mapa final'!$AA$34="Catastrófico"),CONCATENATE("R4C",'Mapa final'!$O$34),"")</f>
        <v/>
      </c>
      <c r="AM39" s="57" t="str">
        <f>IF(AND('Mapa final'!$Y$35="Baja",'Mapa final'!$AA$35="Catastrófico"),CONCATENATE("R4C",'Mapa final'!$O$35),"")</f>
        <v/>
      </c>
      <c r="AN39" s="83"/>
      <c r="AO39" s="467"/>
      <c r="AP39" s="468"/>
      <c r="AQ39" s="468"/>
      <c r="AR39" s="468"/>
      <c r="AS39" s="468"/>
      <c r="AT39" s="469"/>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395"/>
      <c r="C40" s="395"/>
      <c r="D40" s="396"/>
      <c r="E40" s="436"/>
      <c r="F40" s="437"/>
      <c r="G40" s="437"/>
      <c r="H40" s="437"/>
      <c r="I40" s="437"/>
      <c r="J40" s="76" t="str">
        <f>IF(AND('Mapa final'!$Y$36="Baja",'Mapa final'!$AA$36="Leve"),CONCATENATE("R5C",'Mapa final'!$O$36),"")</f>
        <v/>
      </c>
      <c r="K40" s="77" t="str">
        <f>IF(AND('Mapa final'!$Y$37="Baja",'Mapa final'!$AA$37="Leve"),CONCATENATE("R5C",'Mapa final'!$O$37),"")</f>
        <v/>
      </c>
      <c r="L40" s="77" t="str">
        <f>IF(AND('Mapa final'!$Y$38="Baja",'Mapa final'!$AA$38="Leve"),CONCATENATE("R5C",'Mapa final'!$O$38),"")</f>
        <v/>
      </c>
      <c r="M40" s="77" t="str">
        <f>IF(AND('Mapa final'!$Y$39="Baja",'Mapa final'!$AA$39="Leve"),CONCATENATE("R5C",'Mapa final'!$O$39),"")</f>
        <v/>
      </c>
      <c r="N40" s="77" t="str">
        <f>IF(AND('Mapa final'!$Y$40="Baja",'Mapa final'!$AA$40="Leve"),CONCATENATE("R5C",'Mapa final'!$O$40),"")</f>
        <v/>
      </c>
      <c r="O40" s="78" t="str">
        <f>IF(AND('Mapa final'!$Y$41="Baja",'Mapa final'!$AA$41="Leve"),CONCATENATE("R5C",'Mapa final'!$O$41),"")</f>
        <v/>
      </c>
      <c r="P40" s="67" t="str">
        <f>IF(AND('Mapa final'!$Y$36="Baja",'Mapa final'!$AA$36="Menor"),CONCATENATE("R5C",'Mapa final'!$O$36),"")</f>
        <v/>
      </c>
      <c r="Q40" s="68" t="str">
        <f>IF(AND('Mapa final'!$Y$37="Baja",'Mapa final'!$AA$37="Menor"),CONCATENATE("R5C",'Mapa final'!$O$37),"")</f>
        <v/>
      </c>
      <c r="R40" s="68" t="str">
        <f>IF(AND('Mapa final'!$Y$38="Baja",'Mapa final'!$AA$38="Menor"),CONCATENATE("R5C",'Mapa final'!$O$38),"")</f>
        <v/>
      </c>
      <c r="S40" s="68" t="str">
        <f>IF(AND('Mapa final'!$Y$39="Baja",'Mapa final'!$AA$39="Menor"),CONCATENATE("R5C",'Mapa final'!$O$39),"")</f>
        <v/>
      </c>
      <c r="T40" s="68" t="str">
        <f>IF(AND('Mapa final'!$Y$40="Baja",'Mapa final'!$AA$40="Menor"),CONCATENATE("R5C",'Mapa final'!$O$40),"")</f>
        <v/>
      </c>
      <c r="U40" s="69" t="str">
        <f>IF(AND('Mapa final'!$Y$41="Baja",'Mapa final'!$AA$41="Menor"),CONCATENATE("R5C",'Mapa final'!$O$41),"")</f>
        <v/>
      </c>
      <c r="V40" s="67" t="str">
        <f>IF(AND('Mapa final'!$Y$36="Baja",'Mapa final'!$AA$36="Moderado"),CONCATENATE("R5C",'Mapa final'!$O$36),"")</f>
        <v/>
      </c>
      <c r="W40" s="68" t="str">
        <f>IF(AND('Mapa final'!$Y$37="Baja",'Mapa final'!$AA$37="Moderado"),CONCATENATE("R5C",'Mapa final'!$O$37),"")</f>
        <v/>
      </c>
      <c r="X40" s="68" t="str">
        <f>IF(AND('Mapa final'!$Y$38="Baja",'Mapa final'!$AA$38="Moderado"),CONCATENATE("R5C",'Mapa final'!$O$38),"")</f>
        <v/>
      </c>
      <c r="Y40" s="68" t="str">
        <f>IF(AND('Mapa final'!$Y$39="Baja",'Mapa final'!$AA$39="Moderado"),CONCATENATE("R5C",'Mapa final'!$O$39),"")</f>
        <v/>
      </c>
      <c r="Z40" s="68" t="str">
        <f>IF(AND('Mapa final'!$Y$40="Baja",'Mapa final'!$AA$40="Moderado"),CONCATENATE("R5C",'Mapa final'!$O$40),"")</f>
        <v/>
      </c>
      <c r="AA40" s="69" t="str">
        <f>IF(AND('Mapa final'!$Y$41="Baja",'Mapa final'!$AA$41="Moderado"),CONCATENATE("R5C",'Mapa final'!$O$41),"")</f>
        <v/>
      </c>
      <c r="AB40" s="52" t="str">
        <f>IF(AND('Mapa final'!$Y$36="Baja",'Mapa final'!$AA$36="Mayor"),CONCATENATE("R5C",'Mapa final'!$O$36),"")</f>
        <v/>
      </c>
      <c r="AC40" s="53" t="str">
        <f>IF(AND('Mapa final'!$Y$37="Baja",'Mapa final'!$AA$37="Mayor"),CONCATENATE("R5C",'Mapa final'!$O$37),"")</f>
        <v/>
      </c>
      <c r="AD40" s="53" t="str">
        <f>IF(AND('Mapa final'!$Y$38="Baja",'Mapa final'!$AA$38="Mayor"),CONCATENATE("R5C",'Mapa final'!$O$38),"")</f>
        <v/>
      </c>
      <c r="AE40" s="53" t="str">
        <f>IF(AND('Mapa final'!$Y$39="Baja",'Mapa final'!$AA$39="Mayor"),CONCATENATE("R5C",'Mapa final'!$O$39),"")</f>
        <v/>
      </c>
      <c r="AF40" s="53" t="str">
        <f>IF(AND('Mapa final'!$Y$40="Baja",'Mapa final'!$AA$40="Mayor"),CONCATENATE("R5C",'Mapa final'!$O$40),"")</f>
        <v/>
      </c>
      <c r="AG40" s="54" t="str">
        <f>IF(AND('Mapa final'!$Y$41="Baja",'Mapa final'!$AA$41="Mayor"),CONCATENATE("R5C",'Mapa final'!$O$41),"")</f>
        <v/>
      </c>
      <c r="AH40" s="55" t="str">
        <f>IF(AND('Mapa final'!$Y$36="Baja",'Mapa final'!$AA$36="Catastrófico"),CONCATENATE("R5C",'Mapa final'!$O$36),"")</f>
        <v/>
      </c>
      <c r="AI40" s="56" t="str">
        <f>IF(AND('Mapa final'!$Y$37="Baja",'Mapa final'!$AA$37="Catastrófico"),CONCATENATE("R5C",'Mapa final'!$O$37),"")</f>
        <v/>
      </c>
      <c r="AJ40" s="56" t="str">
        <f>IF(AND('Mapa final'!$Y$38="Baja",'Mapa final'!$AA$38="Catastrófico"),CONCATENATE("R5C",'Mapa final'!$O$38),"")</f>
        <v/>
      </c>
      <c r="AK40" s="56" t="str">
        <f>IF(AND('Mapa final'!$Y$39="Baja",'Mapa final'!$AA$39="Catastrófico"),CONCATENATE("R5C",'Mapa final'!$O$39),"")</f>
        <v/>
      </c>
      <c r="AL40" s="56" t="str">
        <f>IF(AND('Mapa final'!$Y$40="Baja",'Mapa final'!$AA$40="Catastrófico"),CONCATENATE("R5C",'Mapa final'!$O$40),"")</f>
        <v/>
      </c>
      <c r="AM40" s="57" t="str">
        <f>IF(AND('Mapa final'!$Y$41="Baja",'Mapa final'!$AA$41="Catastrófico"),CONCATENATE("R5C",'Mapa final'!$O$41),"")</f>
        <v/>
      </c>
      <c r="AN40" s="83"/>
      <c r="AO40" s="467"/>
      <c r="AP40" s="468"/>
      <c r="AQ40" s="468"/>
      <c r="AR40" s="468"/>
      <c r="AS40" s="468"/>
      <c r="AT40" s="469"/>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395"/>
      <c r="C41" s="395"/>
      <c r="D41" s="396"/>
      <c r="E41" s="436"/>
      <c r="F41" s="437"/>
      <c r="G41" s="437"/>
      <c r="H41" s="437"/>
      <c r="I41" s="437"/>
      <c r="J41" s="76" t="str">
        <f>IF(AND('Mapa final'!$Y$42="Baja",'Mapa final'!$AA$42="Leve"),CONCATENATE("R6C",'Mapa final'!$O$42),"")</f>
        <v/>
      </c>
      <c r="K41" s="77" t="str">
        <f>IF(AND('Mapa final'!$Y$43="Baja",'Mapa final'!$AA$43="Leve"),CONCATENATE("R6C",'Mapa final'!$O$43),"")</f>
        <v/>
      </c>
      <c r="L41" s="77" t="str">
        <f>IF(AND('Mapa final'!$Y$44="Baja",'Mapa final'!$AA$44="Leve"),CONCATENATE("R6C",'Mapa final'!$O$44),"")</f>
        <v/>
      </c>
      <c r="M41" s="77" t="str">
        <f>IF(AND('Mapa final'!$Y$45="Baja",'Mapa final'!$AA$45="Leve"),CONCATENATE("R6C",'Mapa final'!$O$45),"")</f>
        <v/>
      </c>
      <c r="N41" s="77" t="str">
        <f>IF(AND('Mapa final'!$Y$46="Baja",'Mapa final'!$AA$46="Leve"),CONCATENATE("R6C",'Mapa final'!$O$46),"")</f>
        <v/>
      </c>
      <c r="O41" s="78" t="str">
        <f>IF(AND('Mapa final'!$Y$47="Baja",'Mapa final'!$AA$47="Leve"),CONCATENATE("R6C",'Mapa final'!$O$47),"")</f>
        <v/>
      </c>
      <c r="P41" s="67" t="str">
        <f>IF(AND('Mapa final'!$Y$42="Baja",'Mapa final'!$AA$42="Menor"),CONCATENATE("R6C",'Mapa final'!$O$42),"")</f>
        <v/>
      </c>
      <c r="Q41" s="68" t="str">
        <f>IF(AND('Mapa final'!$Y$43="Baja",'Mapa final'!$AA$43="Menor"),CONCATENATE("R6C",'Mapa final'!$O$43),"")</f>
        <v/>
      </c>
      <c r="R41" s="68" t="str">
        <f>IF(AND('Mapa final'!$Y$44="Baja",'Mapa final'!$AA$44="Menor"),CONCATENATE("R6C",'Mapa final'!$O$44),"")</f>
        <v/>
      </c>
      <c r="S41" s="68" t="str">
        <f>IF(AND('Mapa final'!$Y$45="Baja",'Mapa final'!$AA$45="Menor"),CONCATENATE("R6C",'Mapa final'!$O$45),"")</f>
        <v/>
      </c>
      <c r="T41" s="68" t="str">
        <f>IF(AND('Mapa final'!$Y$46="Baja",'Mapa final'!$AA$46="Menor"),CONCATENATE("R6C",'Mapa final'!$O$46),"")</f>
        <v/>
      </c>
      <c r="U41" s="69" t="str">
        <f>IF(AND('Mapa final'!$Y$47="Baja",'Mapa final'!$AA$47="Menor"),CONCATENATE("R6C",'Mapa final'!$O$47),"")</f>
        <v/>
      </c>
      <c r="V41" s="67" t="str">
        <f>IF(AND('Mapa final'!$Y$42="Baja",'Mapa final'!$AA$42="Moderado"),CONCATENATE("R6C",'Mapa final'!$O$42),"")</f>
        <v/>
      </c>
      <c r="W41" s="68" t="str">
        <f>IF(AND('Mapa final'!$Y$43="Baja",'Mapa final'!$AA$43="Moderado"),CONCATENATE("R6C",'Mapa final'!$O$43),"")</f>
        <v/>
      </c>
      <c r="X41" s="68" t="str">
        <f>IF(AND('Mapa final'!$Y$44="Baja",'Mapa final'!$AA$44="Moderado"),CONCATENATE("R6C",'Mapa final'!$O$44),"")</f>
        <v/>
      </c>
      <c r="Y41" s="68" t="str">
        <f>IF(AND('Mapa final'!$Y$45="Baja",'Mapa final'!$AA$45="Moderado"),CONCATENATE("R6C",'Mapa final'!$O$45),"")</f>
        <v/>
      </c>
      <c r="Z41" s="68" t="str">
        <f>IF(AND('Mapa final'!$Y$46="Baja",'Mapa final'!$AA$46="Moderado"),CONCATENATE("R6C",'Mapa final'!$O$46),"")</f>
        <v/>
      </c>
      <c r="AA41" s="69" t="str">
        <f>IF(AND('Mapa final'!$Y$47="Baja",'Mapa final'!$AA$47="Moderado"),CONCATENATE("R6C",'Mapa final'!$O$47),"")</f>
        <v/>
      </c>
      <c r="AB41" s="52" t="str">
        <f>IF(AND('Mapa final'!$Y$42="Baja",'Mapa final'!$AA$42="Mayor"),CONCATENATE("R6C",'Mapa final'!$O$42),"")</f>
        <v/>
      </c>
      <c r="AC41" s="53" t="str">
        <f>IF(AND('Mapa final'!$Y$43="Baja",'Mapa final'!$AA$43="Mayor"),CONCATENATE("R6C",'Mapa final'!$O$43),"")</f>
        <v/>
      </c>
      <c r="AD41" s="53" t="str">
        <f>IF(AND('Mapa final'!$Y$44="Baja",'Mapa final'!$AA$44="Mayor"),CONCATENATE("R6C",'Mapa final'!$O$44),"")</f>
        <v/>
      </c>
      <c r="AE41" s="53" t="str">
        <f>IF(AND('Mapa final'!$Y$45="Baja",'Mapa final'!$AA$45="Mayor"),CONCATENATE("R6C",'Mapa final'!$O$45),"")</f>
        <v/>
      </c>
      <c r="AF41" s="53" t="str">
        <f>IF(AND('Mapa final'!$Y$46="Baja",'Mapa final'!$AA$46="Mayor"),CONCATENATE("R6C",'Mapa final'!$O$46),"")</f>
        <v/>
      </c>
      <c r="AG41" s="54" t="str">
        <f>IF(AND('Mapa final'!$Y$47="Baja",'Mapa final'!$AA$47="Mayor"),CONCATENATE("R6C",'Mapa final'!$O$47),"")</f>
        <v/>
      </c>
      <c r="AH41" s="55" t="str">
        <f>IF(AND('Mapa final'!$Y$42="Baja",'Mapa final'!$AA$42="Catastrófico"),CONCATENATE("R6C",'Mapa final'!$O$42),"")</f>
        <v/>
      </c>
      <c r="AI41" s="56" t="str">
        <f>IF(AND('Mapa final'!$Y$43="Baja",'Mapa final'!$AA$43="Catastrófico"),CONCATENATE("R6C",'Mapa final'!$O$43),"")</f>
        <v/>
      </c>
      <c r="AJ41" s="56" t="str">
        <f>IF(AND('Mapa final'!$Y$44="Baja",'Mapa final'!$AA$44="Catastrófico"),CONCATENATE("R6C",'Mapa final'!$O$44),"")</f>
        <v/>
      </c>
      <c r="AK41" s="56" t="str">
        <f>IF(AND('Mapa final'!$Y$45="Baja",'Mapa final'!$AA$45="Catastrófico"),CONCATENATE("R6C",'Mapa final'!$O$45),"")</f>
        <v/>
      </c>
      <c r="AL41" s="56" t="str">
        <f>IF(AND('Mapa final'!$Y$46="Baja",'Mapa final'!$AA$46="Catastrófico"),CONCATENATE("R6C",'Mapa final'!$O$46),"")</f>
        <v/>
      </c>
      <c r="AM41" s="57" t="str">
        <f>IF(AND('Mapa final'!$Y$47="Baja",'Mapa final'!$AA$47="Catastrófico"),CONCATENATE("R6C",'Mapa final'!$O$47),"")</f>
        <v/>
      </c>
      <c r="AN41" s="83"/>
      <c r="AO41" s="467"/>
      <c r="AP41" s="468"/>
      <c r="AQ41" s="468"/>
      <c r="AR41" s="468"/>
      <c r="AS41" s="468"/>
      <c r="AT41" s="469"/>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395"/>
      <c r="C42" s="395"/>
      <c r="D42" s="396"/>
      <c r="E42" s="436"/>
      <c r="F42" s="437"/>
      <c r="G42" s="437"/>
      <c r="H42" s="437"/>
      <c r="I42" s="437"/>
      <c r="J42" s="76" t="str">
        <f>IF(AND('Mapa final'!$Y$48="Baja",'Mapa final'!$AA$48="Leve"),CONCATENATE("R7C",'Mapa final'!$O$48),"")</f>
        <v/>
      </c>
      <c r="K42" s="77" t="str">
        <f>IF(AND('Mapa final'!$Y$49="Baja",'Mapa final'!$AA$49="Leve"),CONCATENATE("R7C",'Mapa final'!$O$49),"")</f>
        <v/>
      </c>
      <c r="L42" s="77" t="e">
        <f>IF(AND('Mapa final'!#REF!="Baja",'Mapa final'!#REF!="Leve"),CONCATENATE("R7C",'Mapa final'!#REF!),"")</f>
        <v>#REF!</v>
      </c>
      <c r="M42" s="77" t="e">
        <f>IF(AND('Mapa final'!#REF!="Baja",'Mapa final'!#REF!="Leve"),CONCATENATE("R7C",'Mapa final'!#REF!),"")</f>
        <v>#REF!</v>
      </c>
      <c r="N42" s="77" t="e">
        <f>IF(AND('Mapa final'!#REF!="Baja",'Mapa final'!#REF!="Leve"),CONCATENATE("R7C",'Mapa final'!#REF!),"")</f>
        <v>#REF!</v>
      </c>
      <c r="O42" s="78" t="e">
        <f>IF(AND('Mapa final'!#REF!="Baja",'Mapa final'!#REF!="Leve"),CONCATENATE("R7C",'Mapa final'!#REF!),"")</f>
        <v>#REF!</v>
      </c>
      <c r="P42" s="67" t="str">
        <f>IF(AND('Mapa final'!$Y$48="Baja",'Mapa final'!$AA$48="Menor"),CONCATENATE("R7C",'Mapa final'!$O$48),"")</f>
        <v/>
      </c>
      <c r="Q42" s="68" t="str">
        <f>IF(AND('Mapa final'!$Y$49="Baja",'Mapa final'!$AA$49="Menor"),CONCATENATE("R7C",'Mapa final'!$O$49),"")</f>
        <v/>
      </c>
      <c r="R42" s="68" t="e">
        <f>IF(AND('Mapa final'!#REF!="Baja",'Mapa final'!#REF!="Menor"),CONCATENATE("R7C",'Mapa final'!#REF!),"")</f>
        <v>#REF!</v>
      </c>
      <c r="S42" s="68" t="e">
        <f>IF(AND('Mapa final'!#REF!="Baja",'Mapa final'!#REF!="Menor"),CONCATENATE("R7C",'Mapa final'!#REF!),"")</f>
        <v>#REF!</v>
      </c>
      <c r="T42" s="68" t="e">
        <f>IF(AND('Mapa final'!#REF!="Baja",'Mapa final'!#REF!="Menor"),CONCATENATE("R7C",'Mapa final'!#REF!),"")</f>
        <v>#REF!</v>
      </c>
      <c r="U42" s="69" t="e">
        <f>IF(AND('Mapa final'!#REF!="Baja",'Mapa final'!#REF!="Menor"),CONCATENATE("R7C",'Mapa final'!#REF!),"")</f>
        <v>#REF!</v>
      </c>
      <c r="V42" s="67" t="str">
        <f>IF(AND('Mapa final'!$Y$48="Baja",'Mapa final'!$AA$48="Moderado"),CONCATENATE("R7C",'Mapa final'!$O$48),"")</f>
        <v/>
      </c>
      <c r="W42" s="68" t="str">
        <f>IF(AND('Mapa final'!$Y$49="Baja",'Mapa final'!$AA$49="Moderado"),CONCATENATE("R7C",'Mapa final'!$O$49),"")</f>
        <v/>
      </c>
      <c r="X42" s="68" t="e">
        <f>IF(AND('Mapa final'!#REF!="Baja",'Mapa final'!#REF!="Moderado"),CONCATENATE("R7C",'Mapa final'!#REF!),"")</f>
        <v>#REF!</v>
      </c>
      <c r="Y42" s="68" t="e">
        <f>IF(AND('Mapa final'!#REF!="Baja",'Mapa final'!#REF!="Moderado"),CONCATENATE("R7C",'Mapa final'!#REF!),"")</f>
        <v>#REF!</v>
      </c>
      <c r="Z42" s="68" t="e">
        <f>IF(AND('Mapa final'!#REF!="Baja",'Mapa final'!#REF!="Moderado"),CONCATENATE("R7C",'Mapa final'!#REF!),"")</f>
        <v>#REF!</v>
      </c>
      <c r="AA42" s="69" t="e">
        <f>IF(AND('Mapa final'!#REF!="Baja",'Mapa final'!#REF!="Moderado"),CONCATENATE("R7C",'Mapa final'!#REF!),"")</f>
        <v>#REF!</v>
      </c>
      <c r="AB42" s="52" t="str">
        <f>IF(AND('Mapa final'!$Y$48="Baja",'Mapa final'!$AA$48="Mayor"),CONCATENATE("R7C",'Mapa final'!$O$48),"")</f>
        <v/>
      </c>
      <c r="AC42" s="53" t="str">
        <f>IF(AND('Mapa final'!$Y$49="Baja",'Mapa final'!$AA$49="Mayor"),CONCATENATE("R7C",'Mapa final'!$O$49),"")</f>
        <v/>
      </c>
      <c r="AD42" s="53" t="e">
        <f>IF(AND('Mapa final'!#REF!="Baja",'Mapa final'!#REF!="Mayor"),CONCATENATE("R7C",'Mapa final'!#REF!),"")</f>
        <v>#REF!</v>
      </c>
      <c r="AE42" s="53" t="e">
        <f>IF(AND('Mapa final'!#REF!="Baja",'Mapa final'!#REF!="Mayor"),CONCATENATE("R7C",'Mapa final'!#REF!),"")</f>
        <v>#REF!</v>
      </c>
      <c r="AF42" s="53" t="e">
        <f>IF(AND('Mapa final'!#REF!="Baja",'Mapa final'!#REF!="Mayor"),CONCATENATE("R7C",'Mapa final'!#REF!),"")</f>
        <v>#REF!</v>
      </c>
      <c r="AG42" s="54" t="e">
        <f>IF(AND('Mapa final'!#REF!="Baja",'Mapa final'!#REF!="Mayor"),CONCATENATE("R7C",'Mapa final'!#REF!),"")</f>
        <v>#REF!</v>
      </c>
      <c r="AH42" s="55" t="str">
        <f>IF(AND('Mapa final'!$Y$48="Baja",'Mapa final'!$AA$48="Catastrófico"),CONCATENATE("R7C",'Mapa final'!$O$48),"")</f>
        <v/>
      </c>
      <c r="AI42" s="56" t="str">
        <f>IF(AND('Mapa final'!$Y$49="Baja",'Mapa final'!$AA$49="Catastrófico"),CONCATENATE("R7C",'Mapa final'!$O$49),"")</f>
        <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3"/>
      <c r="AO42" s="467"/>
      <c r="AP42" s="468"/>
      <c r="AQ42" s="468"/>
      <c r="AR42" s="468"/>
      <c r="AS42" s="468"/>
      <c r="AT42" s="469"/>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395"/>
      <c r="C43" s="395"/>
      <c r="D43" s="396"/>
      <c r="E43" s="436"/>
      <c r="F43" s="437"/>
      <c r="G43" s="437"/>
      <c r="H43" s="437"/>
      <c r="I43" s="437"/>
      <c r="J43" s="76" t="str">
        <f>IF(AND('Mapa final'!$Y$50="Baja",'Mapa final'!$AA$50="Leve"),CONCATENATE("R8C",'Mapa final'!$O$50),"")</f>
        <v/>
      </c>
      <c r="K43" s="77" t="str">
        <f>IF(AND('Mapa final'!$Y$51="Baja",'Mapa final'!$AA$51="Leve"),CONCATENATE("R8C",'Mapa final'!$O$51),"")</f>
        <v/>
      </c>
      <c r="L43" s="77" t="str">
        <f>IF(AND('Mapa final'!$Y$52="Baja",'Mapa final'!$AA$52="Leve"),CONCATENATE("R8C",'Mapa final'!$O$52),"")</f>
        <v/>
      </c>
      <c r="M43" s="77" t="str">
        <f>IF(AND('Mapa final'!$Y$53="Baja",'Mapa final'!$AA$53="Leve"),CONCATENATE("R8C",'Mapa final'!$O$53),"")</f>
        <v/>
      </c>
      <c r="N43" s="77" t="str">
        <f>IF(AND('Mapa final'!$Y$54="Baja",'Mapa final'!$AA$54="Leve"),CONCATENATE("R8C",'Mapa final'!$O$54),"")</f>
        <v/>
      </c>
      <c r="O43" s="78" t="str">
        <f>IF(AND('Mapa final'!$Y$55="Baja",'Mapa final'!$AA$55="Leve"),CONCATENATE("R8C",'Mapa final'!$O$55),"")</f>
        <v/>
      </c>
      <c r="P43" s="67" t="str">
        <f>IF(AND('Mapa final'!$Y$50="Baja",'Mapa final'!$AA$50="Menor"),CONCATENATE("R8C",'Mapa final'!$O$50),"")</f>
        <v/>
      </c>
      <c r="Q43" s="68" t="str">
        <f>IF(AND('Mapa final'!$Y$51="Baja",'Mapa final'!$AA$51="Menor"),CONCATENATE("R8C",'Mapa final'!$O$51),"")</f>
        <v/>
      </c>
      <c r="R43" s="68" t="str">
        <f>IF(AND('Mapa final'!$Y$52="Baja",'Mapa final'!$AA$52="Menor"),CONCATENATE("R8C",'Mapa final'!$O$52),"")</f>
        <v/>
      </c>
      <c r="S43" s="68" t="str">
        <f>IF(AND('Mapa final'!$Y$53="Baja",'Mapa final'!$AA$53="Menor"),CONCATENATE("R8C",'Mapa final'!$O$53),"")</f>
        <v/>
      </c>
      <c r="T43" s="68" t="str">
        <f>IF(AND('Mapa final'!$Y$54="Baja",'Mapa final'!$AA$54="Menor"),CONCATENATE("R8C",'Mapa final'!$O$54),"")</f>
        <v/>
      </c>
      <c r="U43" s="69" t="str">
        <f>IF(AND('Mapa final'!$Y$55="Baja",'Mapa final'!$AA$55="Menor"),CONCATENATE("R8C",'Mapa final'!$O$55),"")</f>
        <v/>
      </c>
      <c r="V43" s="67" t="str">
        <f>IF(AND('Mapa final'!$Y$50="Baja",'Mapa final'!$AA$50="Moderado"),CONCATENATE("R8C",'Mapa final'!$O$50),"")</f>
        <v/>
      </c>
      <c r="W43" s="68" t="str">
        <f>IF(AND('Mapa final'!$Y$51="Baja",'Mapa final'!$AA$51="Moderado"),CONCATENATE("R8C",'Mapa final'!$O$51),"")</f>
        <v/>
      </c>
      <c r="X43" s="68" t="str">
        <f>IF(AND('Mapa final'!$Y$52="Baja",'Mapa final'!$AA$52="Moderado"),CONCATENATE("R8C",'Mapa final'!$O$52),"")</f>
        <v/>
      </c>
      <c r="Y43" s="68" t="str">
        <f>IF(AND('Mapa final'!$Y$53="Baja",'Mapa final'!$AA$53="Moderado"),CONCATENATE("R8C",'Mapa final'!$O$53),"")</f>
        <v/>
      </c>
      <c r="Z43" s="68" t="str">
        <f>IF(AND('Mapa final'!$Y$54="Baja",'Mapa final'!$AA$54="Moderado"),CONCATENATE("R8C",'Mapa final'!$O$54),"")</f>
        <v/>
      </c>
      <c r="AA43" s="69" t="str">
        <f>IF(AND('Mapa final'!$Y$55="Baja",'Mapa final'!$AA$55="Moderado"),CONCATENATE("R8C",'Mapa final'!$O$55),"")</f>
        <v/>
      </c>
      <c r="AB43" s="52" t="str">
        <f>IF(AND('Mapa final'!$Y$50="Baja",'Mapa final'!$AA$50="Mayor"),CONCATENATE("R8C",'Mapa final'!$O$50),"")</f>
        <v/>
      </c>
      <c r="AC43" s="53" t="str">
        <f>IF(AND('Mapa final'!$Y$51="Baja",'Mapa final'!$AA$51="Mayor"),CONCATENATE("R8C",'Mapa final'!$O$51),"")</f>
        <v/>
      </c>
      <c r="AD43" s="53" t="str">
        <f>IF(AND('Mapa final'!$Y$52="Baja",'Mapa final'!$AA$52="Mayor"),CONCATENATE("R8C",'Mapa final'!$O$52),"")</f>
        <v/>
      </c>
      <c r="AE43" s="53" t="str">
        <f>IF(AND('Mapa final'!$Y$53="Baja",'Mapa final'!$AA$53="Mayor"),CONCATENATE("R8C",'Mapa final'!$O$53),"")</f>
        <v/>
      </c>
      <c r="AF43" s="53" t="str">
        <f>IF(AND('Mapa final'!$Y$54="Baja",'Mapa final'!$AA$54="Mayor"),CONCATENATE("R8C",'Mapa final'!$O$54),"")</f>
        <v/>
      </c>
      <c r="AG43" s="54" t="str">
        <f>IF(AND('Mapa final'!$Y$55="Baja",'Mapa final'!$AA$55="Mayor"),CONCATENATE("R8C",'Mapa final'!$O$55),"")</f>
        <v/>
      </c>
      <c r="AH43" s="55" t="str">
        <f>IF(AND('Mapa final'!$Y$50="Baja",'Mapa final'!$AA$50="Catastrófico"),CONCATENATE("R8C",'Mapa final'!$O$50),"")</f>
        <v/>
      </c>
      <c r="AI43" s="56" t="str">
        <f>IF(AND('Mapa final'!$Y$51="Baja",'Mapa final'!$AA$51="Catastrófico"),CONCATENATE("R8C",'Mapa final'!$O$51),"")</f>
        <v/>
      </c>
      <c r="AJ43" s="56" t="str">
        <f>IF(AND('Mapa final'!$Y$52="Baja",'Mapa final'!$AA$52="Catastrófico"),CONCATENATE("R8C",'Mapa final'!$O$52),"")</f>
        <v/>
      </c>
      <c r="AK43" s="56" t="str">
        <f>IF(AND('Mapa final'!$Y$53="Baja",'Mapa final'!$AA$53="Catastrófico"),CONCATENATE("R8C",'Mapa final'!$O$53),"")</f>
        <v/>
      </c>
      <c r="AL43" s="56" t="str">
        <f>IF(AND('Mapa final'!$Y$54="Baja",'Mapa final'!$AA$54="Catastrófico"),CONCATENATE("R8C",'Mapa final'!$O$54),"")</f>
        <v/>
      </c>
      <c r="AM43" s="57" t="str">
        <f>IF(AND('Mapa final'!$Y$55="Baja",'Mapa final'!$AA$55="Catastrófico"),CONCATENATE("R8C",'Mapa final'!$O$55),"")</f>
        <v/>
      </c>
      <c r="AN43" s="83"/>
      <c r="AO43" s="467"/>
      <c r="AP43" s="468"/>
      <c r="AQ43" s="468"/>
      <c r="AR43" s="468"/>
      <c r="AS43" s="468"/>
      <c r="AT43" s="469"/>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395"/>
      <c r="C44" s="395"/>
      <c r="D44" s="396"/>
      <c r="E44" s="436"/>
      <c r="F44" s="437"/>
      <c r="G44" s="437"/>
      <c r="H44" s="437"/>
      <c r="I44" s="437"/>
      <c r="J44" s="76" t="str">
        <f>IF(AND('Mapa final'!$Y$56="Baja",'Mapa final'!$AA$56="Leve"),CONCATENATE("R9C",'Mapa final'!$O$56),"")</f>
        <v/>
      </c>
      <c r="K44" s="77" t="str">
        <f>IF(AND('Mapa final'!$Y$57="Baja",'Mapa final'!$AA$57="Leve"),CONCATENATE("R9C",'Mapa final'!$O$57),"")</f>
        <v/>
      </c>
      <c r="L44" s="77" t="str">
        <f>IF(AND('Mapa final'!$Y$58="Baja",'Mapa final'!$AA$58="Leve"),CONCATENATE("R9C",'Mapa final'!$O$58),"")</f>
        <v/>
      </c>
      <c r="M44" s="77" t="str">
        <f>IF(AND('Mapa final'!$Y$59="Baja",'Mapa final'!$AA$59="Leve"),CONCATENATE("R9C",'Mapa final'!$O$59),"")</f>
        <v/>
      </c>
      <c r="N44" s="77" t="str">
        <f>IF(AND('Mapa final'!$Y$60="Baja",'Mapa final'!$AA$60="Leve"),CONCATENATE("R9C",'Mapa final'!$O$60),"")</f>
        <v/>
      </c>
      <c r="O44" s="78" t="str">
        <f>IF(AND('Mapa final'!$Y$61="Baja",'Mapa final'!$AA$61="Leve"),CONCATENATE("R9C",'Mapa final'!$O$61),"")</f>
        <v/>
      </c>
      <c r="P44" s="67" t="str">
        <f>IF(AND('Mapa final'!$Y$56="Baja",'Mapa final'!$AA$56="Menor"),CONCATENATE("R9C",'Mapa final'!$O$56),"")</f>
        <v/>
      </c>
      <c r="Q44" s="68" t="str">
        <f>IF(AND('Mapa final'!$Y$57="Baja",'Mapa final'!$AA$57="Menor"),CONCATENATE("R9C",'Mapa final'!$O$57),"")</f>
        <v/>
      </c>
      <c r="R44" s="68" t="str">
        <f>IF(AND('Mapa final'!$Y$58="Baja",'Mapa final'!$AA$58="Menor"),CONCATENATE("R9C",'Mapa final'!$O$58),"")</f>
        <v/>
      </c>
      <c r="S44" s="68" t="str">
        <f>IF(AND('Mapa final'!$Y$59="Baja",'Mapa final'!$AA$59="Menor"),CONCATENATE("R9C",'Mapa final'!$O$59),"")</f>
        <v/>
      </c>
      <c r="T44" s="68" t="str">
        <f>IF(AND('Mapa final'!$Y$60="Baja",'Mapa final'!$AA$60="Menor"),CONCATENATE("R9C",'Mapa final'!$O$60),"")</f>
        <v/>
      </c>
      <c r="U44" s="69" t="str">
        <f>IF(AND('Mapa final'!$Y$61="Baja",'Mapa final'!$AA$61="Menor"),CONCATENATE("R9C",'Mapa final'!$O$61),"")</f>
        <v/>
      </c>
      <c r="V44" s="67" t="str">
        <f>IF(AND('Mapa final'!$Y$56="Baja",'Mapa final'!$AA$56="Moderado"),CONCATENATE("R9C",'Mapa final'!$O$56),"")</f>
        <v/>
      </c>
      <c r="W44" s="68" t="str">
        <f>IF(AND('Mapa final'!$Y$57="Baja",'Mapa final'!$AA$57="Moderado"),CONCATENATE("R9C",'Mapa final'!$O$57),"")</f>
        <v/>
      </c>
      <c r="X44" s="68" t="str">
        <f>IF(AND('Mapa final'!$Y$58="Baja",'Mapa final'!$AA$58="Moderado"),CONCATENATE("R9C",'Mapa final'!$O$58),"")</f>
        <v/>
      </c>
      <c r="Y44" s="68" t="str">
        <f>IF(AND('Mapa final'!$Y$59="Baja",'Mapa final'!$AA$59="Moderado"),CONCATENATE("R9C",'Mapa final'!$O$59),"")</f>
        <v/>
      </c>
      <c r="Z44" s="68" t="str">
        <f>IF(AND('Mapa final'!$Y$60="Baja",'Mapa final'!$AA$60="Moderado"),CONCATENATE("R9C",'Mapa final'!$O$60),"")</f>
        <v/>
      </c>
      <c r="AA44" s="69" t="str">
        <f>IF(AND('Mapa final'!$Y$61="Baja",'Mapa final'!$AA$61="Moderado"),CONCATENATE("R9C",'Mapa final'!$O$61),"")</f>
        <v/>
      </c>
      <c r="AB44" s="52" t="str">
        <f>IF(AND('Mapa final'!$Y$56="Baja",'Mapa final'!$AA$56="Mayor"),CONCATENATE("R9C",'Mapa final'!$O$56),"")</f>
        <v/>
      </c>
      <c r="AC44" s="53" t="str">
        <f>IF(AND('Mapa final'!$Y$57="Baja",'Mapa final'!$AA$57="Mayor"),CONCATENATE("R9C",'Mapa final'!$O$57),"")</f>
        <v/>
      </c>
      <c r="AD44" s="53" t="str">
        <f>IF(AND('Mapa final'!$Y$58="Baja",'Mapa final'!$AA$58="Mayor"),CONCATENATE("R9C",'Mapa final'!$O$58),"")</f>
        <v/>
      </c>
      <c r="AE44" s="53" t="str">
        <f>IF(AND('Mapa final'!$Y$59="Baja",'Mapa final'!$AA$59="Mayor"),CONCATENATE("R9C",'Mapa final'!$O$59),"")</f>
        <v/>
      </c>
      <c r="AF44" s="53" t="str">
        <f>IF(AND('Mapa final'!$Y$60="Baja",'Mapa final'!$AA$60="Mayor"),CONCATENATE("R9C",'Mapa final'!$O$60),"")</f>
        <v/>
      </c>
      <c r="AG44" s="54" t="str">
        <f>IF(AND('Mapa final'!$Y$61="Baja",'Mapa final'!$AA$61="Mayor"),CONCATENATE("R9C",'Mapa final'!$O$61),"")</f>
        <v/>
      </c>
      <c r="AH44" s="55" t="str">
        <f>IF(AND('Mapa final'!$Y$56="Baja",'Mapa final'!$AA$56="Catastrófico"),CONCATENATE("R9C",'Mapa final'!$O$56),"")</f>
        <v/>
      </c>
      <c r="AI44" s="56" t="str">
        <f>IF(AND('Mapa final'!$Y$57="Baja",'Mapa final'!$AA$57="Catastrófico"),CONCATENATE("R9C",'Mapa final'!$O$57),"")</f>
        <v/>
      </c>
      <c r="AJ44" s="56" t="str">
        <f>IF(AND('Mapa final'!$Y$58="Baja",'Mapa final'!$AA$58="Catastrófico"),CONCATENATE("R9C",'Mapa final'!$O$58),"")</f>
        <v/>
      </c>
      <c r="AK44" s="56" t="str">
        <f>IF(AND('Mapa final'!$Y$59="Baja",'Mapa final'!$AA$59="Catastrófico"),CONCATENATE("R9C",'Mapa final'!$O$59),"")</f>
        <v/>
      </c>
      <c r="AL44" s="56" t="str">
        <f>IF(AND('Mapa final'!$Y$60="Baja",'Mapa final'!$AA$60="Catastrófico"),CONCATENATE("R9C",'Mapa final'!$O$60),"")</f>
        <v/>
      </c>
      <c r="AM44" s="57" t="str">
        <f>IF(AND('Mapa final'!$Y$61="Baja",'Mapa final'!$AA$61="Catastrófico"),CONCATENATE("R9C",'Mapa final'!$O$61),"")</f>
        <v/>
      </c>
      <c r="AN44" s="83"/>
      <c r="AO44" s="467"/>
      <c r="AP44" s="468"/>
      <c r="AQ44" s="468"/>
      <c r="AR44" s="468"/>
      <c r="AS44" s="468"/>
      <c r="AT44" s="469"/>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395"/>
      <c r="C45" s="395"/>
      <c r="D45" s="396"/>
      <c r="E45" s="439"/>
      <c r="F45" s="440"/>
      <c r="G45" s="440"/>
      <c r="H45" s="440"/>
      <c r="I45" s="440"/>
      <c r="J45" s="79" t="str">
        <f>IF(AND('Mapa final'!$Y$62="Baja",'Mapa final'!$AA$62="Leve"),CONCATENATE("R10C",'Mapa final'!$O$62),"")</f>
        <v/>
      </c>
      <c r="K45" s="80" t="str">
        <f>IF(AND('Mapa final'!$Y$63="Baja",'Mapa final'!$AA$63="Leve"),CONCATENATE("R10C",'Mapa final'!$O$63),"")</f>
        <v/>
      </c>
      <c r="L45" s="80" t="str">
        <f>IF(AND('Mapa final'!$Y$64="Baja",'Mapa final'!$AA$64="Leve"),CONCATENATE("R10C",'Mapa final'!$O$64),"")</f>
        <v/>
      </c>
      <c r="M45" s="80" t="str">
        <f>IF(AND('Mapa final'!$Y$65="Baja",'Mapa final'!$AA$65="Leve"),CONCATENATE("R10C",'Mapa final'!$O$65),"")</f>
        <v/>
      </c>
      <c r="N45" s="80" t="str">
        <f>IF(AND('Mapa final'!$Y$66="Baja",'Mapa final'!$AA$66="Leve"),CONCATENATE("R10C",'Mapa final'!$O$66),"")</f>
        <v/>
      </c>
      <c r="O45" s="81" t="str">
        <f>IF(AND('Mapa final'!$Y$67="Baja",'Mapa final'!$AA$67="Leve"),CONCATENATE("R10C",'Mapa final'!$O$67),"")</f>
        <v/>
      </c>
      <c r="P45" s="67" t="str">
        <f>IF(AND('Mapa final'!$Y$62="Baja",'Mapa final'!$AA$62="Menor"),CONCATENATE("R10C",'Mapa final'!$O$62),"")</f>
        <v/>
      </c>
      <c r="Q45" s="68" t="str">
        <f>IF(AND('Mapa final'!$Y$63="Baja",'Mapa final'!$AA$63="Menor"),CONCATENATE("R10C",'Mapa final'!$O$63),"")</f>
        <v/>
      </c>
      <c r="R45" s="68" t="str">
        <f>IF(AND('Mapa final'!$Y$64="Baja",'Mapa final'!$AA$64="Menor"),CONCATENATE("R10C",'Mapa final'!$O$64),"")</f>
        <v/>
      </c>
      <c r="S45" s="68" t="str">
        <f>IF(AND('Mapa final'!$Y$65="Baja",'Mapa final'!$AA$65="Menor"),CONCATENATE("R10C",'Mapa final'!$O$65),"")</f>
        <v/>
      </c>
      <c r="T45" s="68" t="str">
        <f>IF(AND('Mapa final'!$Y$66="Baja",'Mapa final'!$AA$66="Menor"),CONCATENATE("R10C",'Mapa final'!$O$66),"")</f>
        <v/>
      </c>
      <c r="U45" s="69" t="str">
        <f>IF(AND('Mapa final'!$Y$67="Baja",'Mapa final'!$AA$67="Menor"),CONCATENATE("R10C",'Mapa final'!$O$67),"")</f>
        <v/>
      </c>
      <c r="V45" s="70" t="str">
        <f>IF(AND('Mapa final'!$Y$62="Baja",'Mapa final'!$AA$62="Moderado"),CONCATENATE("R10C",'Mapa final'!$O$62),"")</f>
        <v/>
      </c>
      <c r="W45" s="71" t="str">
        <f>IF(AND('Mapa final'!$Y$63="Baja",'Mapa final'!$AA$63="Moderado"),CONCATENATE("R10C",'Mapa final'!$O$63),"")</f>
        <v/>
      </c>
      <c r="X45" s="71" t="str">
        <f>IF(AND('Mapa final'!$Y$64="Baja",'Mapa final'!$AA$64="Moderado"),CONCATENATE("R10C",'Mapa final'!$O$64),"")</f>
        <v/>
      </c>
      <c r="Y45" s="71" t="str">
        <f>IF(AND('Mapa final'!$Y$65="Baja",'Mapa final'!$AA$65="Moderado"),CONCATENATE("R10C",'Mapa final'!$O$65),"")</f>
        <v/>
      </c>
      <c r="Z45" s="71" t="str">
        <f>IF(AND('Mapa final'!$Y$66="Baja",'Mapa final'!$AA$66="Moderado"),CONCATENATE("R10C",'Mapa final'!$O$66),"")</f>
        <v/>
      </c>
      <c r="AA45" s="72" t="str">
        <f>IF(AND('Mapa final'!$Y$67="Baja",'Mapa final'!$AA$67="Moderado"),CONCATENATE("R10C",'Mapa final'!$O$67),"")</f>
        <v/>
      </c>
      <c r="AB45" s="58" t="str">
        <f>IF(AND('Mapa final'!$Y$62="Baja",'Mapa final'!$AA$62="Mayor"),CONCATENATE("R10C",'Mapa final'!$O$62),"")</f>
        <v/>
      </c>
      <c r="AC45" s="59" t="str">
        <f>IF(AND('Mapa final'!$Y$63="Baja",'Mapa final'!$AA$63="Mayor"),CONCATENATE("R10C",'Mapa final'!$O$63),"")</f>
        <v/>
      </c>
      <c r="AD45" s="59" t="str">
        <f>IF(AND('Mapa final'!$Y$64="Baja",'Mapa final'!$AA$64="Mayor"),CONCATENATE("R10C",'Mapa final'!$O$64),"")</f>
        <v/>
      </c>
      <c r="AE45" s="59" t="str">
        <f>IF(AND('Mapa final'!$Y$65="Baja",'Mapa final'!$AA$65="Mayor"),CONCATENATE("R10C",'Mapa final'!$O$65),"")</f>
        <v/>
      </c>
      <c r="AF45" s="59" t="str">
        <f>IF(AND('Mapa final'!$Y$66="Baja",'Mapa final'!$AA$66="Mayor"),CONCATENATE("R10C",'Mapa final'!$O$66),"")</f>
        <v/>
      </c>
      <c r="AG45" s="60" t="str">
        <f>IF(AND('Mapa final'!$Y$67="Baja",'Mapa final'!$AA$67="Mayor"),CONCATENATE("R10C",'Mapa final'!$O$67),"")</f>
        <v/>
      </c>
      <c r="AH45" s="61" t="str">
        <f>IF(AND('Mapa final'!$Y$62="Baja",'Mapa final'!$AA$62="Catastrófico"),CONCATENATE("R10C",'Mapa final'!$O$62),"")</f>
        <v/>
      </c>
      <c r="AI45" s="62" t="str">
        <f>IF(AND('Mapa final'!$Y$63="Baja",'Mapa final'!$AA$63="Catastrófico"),CONCATENATE("R10C",'Mapa final'!$O$63),"")</f>
        <v/>
      </c>
      <c r="AJ45" s="62" t="str">
        <f>IF(AND('Mapa final'!$Y$64="Baja",'Mapa final'!$AA$64="Catastrófico"),CONCATENATE("R10C",'Mapa final'!$O$64),"")</f>
        <v/>
      </c>
      <c r="AK45" s="62" t="str">
        <f>IF(AND('Mapa final'!$Y$65="Baja",'Mapa final'!$AA$65="Catastrófico"),CONCATENATE("R10C",'Mapa final'!$O$65),"")</f>
        <v/>
      </c>
      <c r="AL45" s="62" t="str">
        <f>IF(AND('Mapa final'!$Y$66="Baja",'Mapa final'!$AA$66="Catastrófico"),CONCATENATE("R10C",'Mapa final'!$O$66),"")</f>
        <v/>
      </c>
      <c r="AM45" s="63" t="str">
        <f>IF(AND('Mapa final'!$Y$67="Baja",'Mapa final'!$AA$67="Catastrófico"),CONCATENATE("R10C",'Mapa final'!$O$67),"")</f>
        <v/>
      </c>
      <c r="AN45" s="83"/>
      <c r="AO45" s="470"/>
      <c r="AP45" s="471"/>
      <c r="AQ45" s="471"/>
      <c r="AR45" s="471"/>
      <c r="AS45" s="471"/>
      <c r="AT45" s="472"/>
    </row>
    <row r="46" spans="1:80" ht="46.5" customHeight="1" x14ac:dyDescent="0.35">
      <c r="A46" s="83"/>
      <c r="B46" s="395"/>
      <c r="C46" s="395"/>
      <c r="D46" s="396"/>
      <c r="E46" s="433" t="s">
        <v>100</v>
      </c>
      <c r="F46" s="434"/>
      <c r="G46" s="434"/>
      <c r="H46" s="434"/>
      <c r="I46" s="435"/>
      <c r="J46" s="73" t="str">
        <f>IF(AND('Mapa final'!$Y$24="Muy Baja",'Mapa final'!$AA$24="Leve"),CONCATENATE("R1C",'Mapa final'!$O$24),"")</f>
        <v/>
      </c>
      <c r="K46" s="74" t="str">
        <f>IF(AND('Mapa final'!$Y$25="Muy Baja",'Mapa final'!$AA$25="Leve"),CONCATENATE("R1C",'Mapa final'!$O$25),"")</f>
        <v/>
      </c>
      <c r="L46" s="74" t="e">
        <f>IF(AND('Mapa final'!#REF!="Muy Baja",'Mapa final'!#REF!="Leve"),CONCATENATE("R1C",'Mapa final'!#REF!),"")</f>
        <v>#REF!</v>
      </c>
      <c r="M46" s="74" t="e">
        <f>IF(AND('Mapa final'!#REF!="Muy Baja",'Mapa final'!#REF!="Leve"),CONCATENATE("R1C",'Mapa final'!#REF!),"")</f>
        <v>#REF!</v>
      </c>
      <c r="N46" s="74" t="e">
        <f>IF(AND('Mapa final'!#REF!="Muy Baja",'Mapa final'!#REF!="Leve"),CONCATENATE("R1C",'Mapa final'!#REF!),"")</f>
        <v>#REF!</v>
      </c>
      <c r="O46" s="75" t="e">
        <f>IF(AND('Mapa final'!#REF!="Muy Baja",'Mapa final'!#REF!="Leve"),CONCATENATE("R1C",'Mapa final'!#REF!),"")</f>
        <v>#REF!</v>
      </c>
      <c r="P46" s="73" t="str">
        <f>IF(AND('Mapa final'!$Y$24="Muy Baja",'Mapa final'!$AA$24="Menor"),CONCATENATE("R1C",'Mapa final'!$O$24),"")</f>
        <v/>
      </c>
      <c r="Q46" s="74" t="str">
        <f>IF(AND('Mapa final'!$Y$25="Muy Baja",'Mapa final'!$AA$25="Menor"),CONCATENATE("R1C",'Mapa final'!$O$25),"")</f>
        <v/>
      </c>
      <c r="R46" s="74" t="e">
        <f>IF(AND('Mapa final'!#REF!="Muy Baja",'Mapa final'!#REF!="Menor"),CONCATENATE("R1C",'Mapa final'!#REF!),"")</f>
        <v>#REF!</v>
      </c>
      <c r="S46" s="74" t="e">
        <f>IF(AND('Mapa final'!#REF!="Muy Baja",'Mapa final'!#REF!="Menor"),CONCATENATE("R1C",'Mapa final'!#REF!),"")</f>
        <v>#REF!</v>
      </c>
      <c r="T46" s="74" t="e">
        <f>IF(AND('Mapa final'!#REF!="Muy Baja",'Mapa final'!#REF!="Menor"),CONCATENATE("R1C",'Mapa final'!#REF!),"")</f>
        <v>#REF!</v>
      </c>
      <c r="U46" s="75" t="e">
        <f>IF(AND('Mapa final'!#REF!="Muy Baja",'Mapa final'!#REF!="Menor"),CONCATENATE("R1C",'Mapa final'!#REF!),"")</f>
        <v>#REF!</v>
      </c>
      <c r="V46" s="64" t="str">
        <f>IF(AND('Mapa final'!$Y$24="Muy Baja",'Mapa final'!$AA$24="Moderado"),CONCATENATE("R1C",'Mapa final'!$O$24),"")</f>
        <v/>
      </c>
      <c r="W46" s="82" t="str">
        <f>IF(AND('Mapa final'!$Y$25="Muy Baja",'Mapa final'!$AA$25="Moderado"),CONCATENATE("R1C",'Mapa final'!$O$25),"")</f>
        <v/>
      </c>
      <c r="X46" s="65" t="e">
        <f>IF(AND('Mapa final'!#REF!="Muy Baja",'Mapa final'!#REF!="Moderado"),CONCATENATE("R1C",'Mapa final'!#REF!),"")</f>
        <v>#REF!</v>
      </c>
      <c r="Y46" s="65" t="e">
        <f>IF(AND('Mapa final'!#REF!="Muy Baja",'Mapa final'!#REF!="Moderado"),CONCATENATE("R1C",'Mapa final'!#REF!),"")</f>
        <v>#REF!</v>
      </c>
      <c r="Z46" s="65" t="e">
        <f>IF(AND('Mapa final'!#REF!="Muy Baja",'Mapa final'!#REF!="Moderado"),CONCATENATE("R1C",'Mapa final'!#REF!),"")</f>
        <v>#REF!</v>
      </c>
      <c r="AA46" s="66" t="e">
        <f>IF(AND('Mapa final'!#REF!="Muy Baja",'Mapa final'!#REF!="Moderado"),CONCATENATE("R1C",'Mapa final'!#REF!),"")</f>
        <v>#REF!</v>
      </c>
      <c r="AB46" s="46" t="str">
        <f>IF(AND('Mapa final'!$Y$24="Muy Baja",'Mapa final'!$AA$24="Mayor"),CONCATENATE("R1C",'Mapa final'!$O$24),"")</f>
        <v/>
      </c>
      <c r="AC46" s="47" t="str">
        <f>IF(AND('Mapa final'!$Y$25="Muy Baja",'Mapa final'!$AA$25="Mayor"),CONCATENATE("R1C",'Mapa final'!$O$25),"")</f>
        <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final'!$Y$24="Muy Baja",'Mapa final'!$AA$24="Catastrófico"),CONCATENATE("R1C",'Mapa final'!$O$24),"")</f>
        <v/>
      </c>
      <c r="AI46" s="50" t="str">
        <f>IF(AND('Mapa final'!$Y$25="Muy Baja",'Mapa final'!$AA$25="Catastrófico"),CONCATENATE("R1C",'Mapa final'!$O$25),"")</f>
        <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395"/>
      <c r="C47" s="395"/>
      <c r="D47" s="396"/>
      <c r="E47" s="452"/>
      <c r="F47" s="437"/>
      <c r="G47" s="437"/>
      <c r="H47" s="437"/>
      <c r="I47" s="438"/>
      <c r="J47" s="76" t="str">
        <f>IF(AND('Mapa final'!$Y$26="Muy Baja",'Mapa final'!$AA$26="Leve"),CONCATENATE("R2C",'Mapa final'!$O$26),"")</f>
        <v/>
      </c>
      <c r="K47" s="77" t="e">
        <f>IF(AND('Mapa final'!#REF!="Muy Baja",'Mapa final'!#REF!="Leve"),CONCATENATE("R2C",'Mapa final'!#REF!),"")</f>
        <v>#REF!</v>
      </c>
      <c r="L47" s="77" t="e">
        <f>IF(AND('Mapa final'!#REF!="Muy Baja",'Mapa final'!#REF!="Leve"),CONCATENATE("R2C",'Mapa final'!#REF!),"")</f>
        <v>#REF!</v>
      </c>
      <c r="M47" s="77" t="e">
        <f>IF(AND('Mapa final'!#REF!="Muy Baja",'Mapa final'!#REF!="Leve"),CONCATENATE("R2C",'Mapa final'!#REF!),"")</f>
        <v>#REF!</v>
      </c>
      <c r="N47" s="77" t="e">
        <f>IF(AND('Mapa final'!#REF!="Muy Baja",'Mapa final'!#REF!="Leve"),CONCATENATE("R2C",'Mapa final'!#REF!),"")</f>
        <v>#REF!</v>
      </c>
      <c r="O47" s="78" t="e">
        <f>IF(AND('Mapa final'!#REF!="Muy Baja",'Mapa final'!#REF!="Leve"),CONCATENATE("R2C",'Mapa final'!#REF!),"")</f>
        <v>#REF!</v>
      </c>
      <c r="P47" s="76" t="str">
        <f>IF(AND('Mapa final'!$Y$26="Muy Baja",'Mapa final'!$AA$26="Menor"),CONCATENATE("R2C",'Mapa final'!$O$26),"")</f>
        <v/>
      </c>
      <c r="Q47" s="77" t="e">
        <f>IF(AND('Mapa final'!#REF!="Muy Baja",'Mapa final'!#REF!="Menor"),CONCATENATE("R2C",'Mapa final'!#REF!),"")</f>
        <v>#REF!</v>
      </c>
      <c r="R47" s="77" t="e">
        <f>IF(AND('Mapa final'!#REF!="Muy Baja",'Mapa final'!#REF!="Menor"),CONCATENATE("R2C",'Mapa final'!#REF!),"")</f>
        <v>#REF!</v>
      </c>
      <c r="S47" s="77" t="e">
        <f>IF(AND('Mapa final'!#REF!="Muy Baja",'Mapa final'!#REF!="Menor"),CONCATENATE("R2C",'Mapa final'!#REF!),"")</f>
        <v>#REF!</v>
      </c>
      <c r="T47" s="77" t="e">
        <f>IF(AND('Mapa final'!#REF!="Muy Baja",'Mapa final'!#REF!="Menor"),CONCATENATE("R2C",'Mapa final'!#REF!),"")</f>
        <v>#REF!</v>
      </c>
      <c r="U47" s="78" t="e">
        <f>IF(AND('Mapa final'!#REF!="Muy Baja",'Mapa final'!#REF!="Menor"),CONCATENATE("R2C",'Mapa final'!#REF!),"")</f>
        <v>#REF!</v>
      </c>
      <c r="V47" s="67" t="str">
        <f>IF(AND('Mapa final'!$Y$26="Muy Baja",'Mapa final'!$AA$26="Moderado"),CONCATENATE("R2C",'Mapa final'!$O$26),"")</f>
        <v/>
      </c>
      <c r="W47" s="68" t="e">
        <f>IF(AND('Mapa final'!#REF!="Muy Baja",'Mapa final'!#REF!="Moderado"),CONCATENATE("R2C",'Mapa final'!#REF!),"")</f>
        <v>#REF!</v>
      </c>
      <c r="X47" s="68" t="e">
        <f>IF(AND('Mapa final'!#REF!="Muy Baja",'Mapa final'!#REF!="Moderado"),CONCATENATE("R2C",'Mapa final'!#REF!),"")</f>
        <v>#REF!</v>
      </c>
      <c r="Y47" s="68" t="e">
        <f>IF(AND('Mapa final'!#REF!="Muy Baja",'Mapa final'!#REF!="Moderado"),CONCATENATE("R2C",'Mapa final'!#REF!),"")</f>
        <v>#REF!</v>
      </c>
      <c r="Z47" s="68" t="e">
        <f>IF(AND('Mapa final'!#REF!="Muy Baja",'Mapa final'!#REF!="Moderado"),CONCATENATE("R2C",'Mapa final'!#REF!),"")</f>
        <v>#REF!</v>
      </c>
      <c r="AA47" s="69" t="e">
        <f>IF(AND('Mapa final'!#REF!="Muy Baja",'Mapa final'!#REF!="Moderado"),CONCATENATE("R2C",'Mapa final'!#REF!),"")</f>
        <v>#REF!</v>
      </c>
      <c r="AB47" s="52" t="str">
        <f>IF(AND('Mapa final'!$Y$26="Muy Baja",'Mapa final'!$AA$26="Mayor"),CONCATENATE("R2C",'Mapa final'!$O$26),"")</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final'!$Y$26="Muy Baja",'Mapa final'!$AA$26="Catastrófico"),CONCATENATE("R2C",'Mapa final'!$O$26),"")</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395"/>
      <c r="C48" s="395"/>
      <c r="D48" s="396"/>
      <c r="E48" s="452"/>
      <c r="F48" s="437"/>
      <c r="G48" s="437"/>
      <c r="H48" s="437"/>
      <c r="I48" s="438"/>
      <c r="J48" s="76" t="str">
        <f>IF(AND('Mapa final'!$Y$27="Muy Baja",'Mapa final'!$AA$27="Leve"),CONCATENATE("R3C",'Mapa final'!$O$27),"")</f>
        <v/>
      </c>
      <c r="K48" s="77" t="str">
        <f>IF(AND('Mapa final'!$Y$28="Muy Baja",'Mapa final'!$AA$28="Leve"),CONCATENATE("R3C",'Mapa final'!$O$28),"")</f>
        <v/>
      </c>
      <c r="L48" s="77" t="str">
        <f>IF(AND('Mapa final'!$Y$29="Muy Baja",'Mapa final'!$AA$29="Leve"),CONCATENATE("R3C",'Mapa final'!$O$29),"")</f>
        <v/>
      </c>
      <c r="M48" s="77" t="e">
        <f>IF(AND('Mapa final'!#REF!="Muy Baja",'Mapa final'!#REF!="Leve"),CONCATENATE("R3C",'Mapa final'!#REF!),"")</f>
        <v>#REF!</v>
      </c>
      <c r="N48" s="77" t="e">
        <f>IF(AND('Mapa final'!#REF!="Muy Baja",'Mapa final'!#REF!="Leve"),CONCATENATE("R3C",'Mapa final'!#REF!),"")</f>
        <v>#REF!</v>
      </c>
      <c r="O48" s="78" t="e">
        <f>IF(AND('Mapa final'!#REF!="Muy Baja",'Mapa final'!#REF!="Leve"),CONCATENATE("R3C",'Mapa final'!#REF!),"")</f>
        <v>#REF!</v>
      </c>
      <c r="P48" s="76" t="str">
        <f>IF(AND('Mapa final'!$Y$27="Muy Baja",'Mapa final'!$AA$27="Menor"),CONCATENATE("R3C",'Mapa final'!$O$27),"")</f>
        <v/>
      </c>
      <c r="Q48" s="77" t="str">
        <f>IF(AND('Mapa final'!$Y$28="Muy Baja",'Mapa final'!$AA$28="Menor"),CONCATENATE("R3C",'Mapa final'!$O$28),"")</f>
        <v/>
      </c>
      <c r="R48" s="77" t="str">
        <f>IF(AND('Mapa final'!$Y$29="Muy Baja",'Mapa final'!$AA$29="Menor"),CONCATENATE("R3C",'Mapa final'!$O$29),"")</f>
        <v/>
      </c>
      <c r="S48" s="77" t="e">
        <f>IF(AND('Mapa final'!#REF!="Muy Baja",'Mapa final'!#REF!="Menor"),CONCATENATE("R3C",'Mapa final'!#REF!),"")</f>
        <v>#REF!</v>
      </c>
      <c r="T48" s="77" t="e">
        <f>IF(AND('Mapa final'!#REF!="Muy Baja",'Mapa final'!#REF!="Menor"),CONCATENATE("R3C",'Mapa final'!#REF!),"")</f>
        <v>#REF!</v>
      </c>
      <c r="U48" s="78" t="e">
        <f>IF(AND('Mapa final'!#REF!="Muy Baja",'Mapa final'!#REF!="Menor"),CONCATENATE("R3C",'Mapa final'!#REF!),"")</f>
        <v>#REF!</v>
      </c>
      <c r="V48" s="67" t="str">
        <f>IF(AND('Mapa final'!$Y$27="Muy Baja",'Mapa final'!$AA$27="Moderado"),CONCATENATE("R3C",'Mapa final'!$O$27),"")</f>
        <v/>
      </c>
      <c r="W48" s="68" t="str">
        <f>IF(AND('Mapa final'!$Y$28="Muy Baja",'Mapa final'!$AA$28="Moderado"),CONCATENATE("R3C",'Mapa final'!$O$28),"")</f>
        <v/>
      </c>
      <c r="X48" s="68" t="str">
        <f>IF(AND('Mapa final'!$Y$29="Muy Baja",'Mapa final'!$AA$29="Moderado"),CONCATENATE("R3C",'Mapa final'!$O$29),"")</f>
        <v/>
      </c>
      <c r="Y48" s="68" t="e">
        <f>IF(AND('Mapa final'!#REF!="Muy Baja",'Mapa final'!#REF!="Moderado"),CONCATENATE("R3C",'Mapa final'!#REF!),"")</f>
        <v>#REF!</v>
      </c>
      <c r="Z48" s="68" t="e">
        <f>IF(AND('Mapa final'!#REF!="Muy Baja",'Mapa final'!#REF!="Moderado"),CONCATENATE("R3C",'Mapa final'!#REF!),"")</f>
        <v>#REF!</v>
      </c>
      <c r="AA48" s="69" t="e">
        <f>IF(AND('Mapa final'!#REF!="Muy Baja",'Mapa final'!#REF!="Moderado"),CONCATENATE("R3C",'Mapa final'!#REF!),"")</f>
        <v>#REF!</v>
      </c>
      <c r="AB48" s="52" t="str">
        <f>IF(AND('Mapa final'!$Y$27="Muy Baja",'Mapa final'!$AA$27="Mayor"),CONCATENATE("R3C",'Mapa final'!$O$27),"")</f>
        <v/>
      </c>
      <c r="AC48" s="53" t="str">
        <f>IF(AND('Mapa final'!$Y$28="Muy Baja",'Mapa final'!$AA$28="Mayor"),CONCATENATE("R3C",'Mapa final'!$O$28),"")</f>
        <v/>
      </c>
      <c r="AD48" s="53" t="str">
        <f>IF(AND('Mapa final'!$Y$29="Muy Baja",'Mapa final'!$AA$29="Mayor"),CONCATENATE("R3C",'Mapa final'!$O$29),"")</f>
        <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final'!$Y$27="Muy Baja",'Mapa final'!$AA$27="Catastrófico"),CONCATENATE("R3C",'Mapa final'!$O$27),"")</f>
        <v/>
      </c>
      <c r="AI48" s="56" t="str">
        <f>IF(AND('Mapa final'!$Y$28="Muy Baja",'Mapa final'!$AA$28="Catastrófico"),CONCATENATE("R3C",'Mapa final'!$O$28),"")</f>
        <v/>
      </c>
      <c r="AJ48" s="56" t="str">
        <f>IF(AND('Mapa final'!$Y$29="Muy Baja",'Mapa final'!$AA$29="Catastrófico"),CONCATENATE("R3C",'Mapa final'!$O$29),"")</f>
        <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395"/>
      <c r="C49" s="395"/>
      <c r="D49" s="396"/>
      <c r="E49" s="436"/>
      <c r="F49" s="437"/>
      <c r="G49" s="437"/>
      <c r="H49" s="437"/>
      <c r="I49" s="438"/>
      <c r="J49" s="76" t="str">
        <f>IF(AND('Mapa final'!$Y$30="Muy Baja",'Mapa final'!$AA$30="Leve"),CONCATENATE("R4C",'Mapa final'!$O$30),"")</f>
        <v/>
      </c>
      <c r="K49" s="77" t="str">
        <f>IF(AND('Mapa final'!$Y$31="Muy Baja",'Mapa final'!$AA$31="Leve"),CONCATENATE("R4C",'Mapa final'!$O$31),"")</f>
        <v/>
      </c>
      <c r="L49" s="77" t="str">
        <f>IF(AND('Mapa final'!$Y$32="Muy Baja",'Mapa final'!$AA$32="Leve"),CONCATENATE("R4C",'Mapa final'!$O$32),"")</f>
        <v/>
      </c>
      <c r="M49" s="77" t="str">
        <f>IF(AND('Mapa final'!$Y$33="Muy Baja",'Mapa final'!$AA$33="Leve"),CONCATENATE("R4C",'Mapa final'!$O$33),"")</f>
        <v/>
      </c>
      <c r="N49" s="77" t="str">
        <f>IF(AND('Mapa final'!$Y$34="Muy Baja",'Mapa final'!$AA$34="Leve"),CONCATENATE("R4C",'Mapa final'!$O$34),"")</f>
        <v/>
      </c>
      <c r="O49" s="78" t="str">
        <f>IF(AND('Mapa final'!$Y$35="Muy Baja",'Mapa final'!$AA$35="Leve"),CONCATENATE("R4C",'Mapa final'!$O$35),"")</f>
        <v/>
      </c>
      <c r="P49" s="76" t="str">
        <f>IF(AND('Mapa final'!$Y$30="Muy Baja",'Mapa final'!$AA$30="Menor"),CONCATENATE("R4C",'Mapa final'!$O$30),"")</f>
        <v/>
      </c>
      <c r="Q49" s="77" t="str">
        <f>IF(AND('Mapa final'!$Y$31="Muy Baja",'Mapa final'!$AA$31="Menor"),CONCATENATE("R4C",'Mapa final'!$O$31),"")</f>
        <v/>
      </c>
      <c r="R49" s="77" t="str">
        <f>IF(AND('Mapa final'!$Y$32="Muy Baja",'Mapa final'!$AA$32="Menor"),CONCATENATE("R4C",'Mapa final'!$O$32),"")</f>
        <v/>
      </c>
      <c r="S49" s="77" t="str">
        <f>IF(AND('Mapa final'!$Y$33="Muy Baja",'Mapa final'!$AA$33="Menor"),CONCATENATE("R4C",'Mapa final'!$O$33),"")</f>
        <v/>
      </c>
      <c r="T49" s="77" t="str">
        <f>IF(AND('Mapa final'!$Y$34="Muy Baja",'Mapa final'!$AA$34="Menor"),CONCATENATE("R4C",'Mapa final'!$O$34),"")</f>
        <v/>
      </c>
      <c r="U49" s="78" t="str">
        <f>IF(AND('Mapa final'!$Y$35="Muy Baja",'Mapa final'!$AA$35="Menor"),CONCATENATE("R4C",'Mapa final'!$O$35),"")</f>
        <v/>
      </c>
      <c r="V49" s="67" t="str">
        <f>IF(AND('Mapa final'!$Y$30="Muy Baja",'Mapa final'!$AA$30="Moderado"),CONCATENATE("R4C",'Mapa final'!$O$30),"")</f>
        <v/>
      </c>
      <c r="W49" s="68" t="str">
        <f>IF(AND('Mapa final'!$Y$31="Muy Baja",'Mapa final'!$AA$31="Moderado"),CONCATENATE("R4C",'Mapa final'!$O$31),"")</f>
        <v/>
      </c>
      <c r="X49" s="68" t="str">
        <f>IF(AND('Mapa final'!$Y$32="Muy Baja",'Mapa final'!$AA$32="Moderado"),CONCATENATE("R4C",'Mapa final'!$O$32),"")</f>
        <v/>
      </c>
      <c r="Y49" s="68" t="str">
        <f>IF(AND('Mapa final'!$Y$33="Muy Baja",'Mapa final'!$AA$33="Moderado"),CONCATENATE("R4C",'Mapa final'!$O$33),"")</f>
        <v/>
      </c>
      <c r="Z49" s="68" t="str">
        <f>IF(AND('Mapa final'!$Y$34="Muy Baja",'Mapa final'!$AA$34="Moderado"),CONCATENATE("R4C",'Mapa final'!$O$34),"")</f>
        <v/>
      </c>
      <c r="AA49" s="69" t="str">
        <f>IF(AND('Mapa final'!$Y$35="Muy Baja",'Mapa final'!$AA$35="Moderado"),CONCATENATE("R4C",'Mapa final'!$O$35),"")</f>
        <v/>
      </c>
      <c r="AB49" s="52" t="str">
        <f>IF(AND('Mapa final'!$Y$30="Muy Baja",'Mapa final'!$AA$30="Mayor"),CONCATENATE("R4C",'Mapa final'!$O$30),"")</f>
        <v/>
      </c>
      <c r="AC49" s="53" t="str">
        <f>IF(AND('Mapa final'!$Y$31="Muy Baja",'Mapa final'!$AA$31="Mayor"),CONCATENATE("R4C",'Mapa final'!$O$31),"")</f>
        <v/>
      </c>
      <c r="AD49" s="53" t="str">
        <f>IF(AND('Mapa final'!$Y$32="Muy Baja",'Mapa final'!$AA$32="Mayor"),CONCATENATE("R4C",'Mapa final'!$O$32),"")</f>
        <v/>
      </c>
      <c r="AE49" s="53" t="str">
        <f>IF(AND('Mapa final'!$Y$33="Muy Baja",'Mapa final'!$AA$33="Mayor"),CONCATENATE("R4C",'Mapa final'!$O$33),"")</f>
        <v/>
      </c>
      <c r="AF49" s="53" t="str">
        <f>IF(AND('Mapa final'!$Y$34="Muy Baja",'Mapa final'!$AA$34="Mayor"),CONCATENATE("R4C",'Mapa final'!$O$34),"")</f>
        <v/>
      </c>
      <c r="AG49" s="54" t="str">
        <f>IF(AND('Mapa final'!$Y$35="Muy Baja",'Mapa final'!$AA$35="Mayor"),CONCATENATE("R4C",'Mapa final'!$O$35),"")</f>
        <v/>
      </c>
      <c r="AH49" s="55" t="str">
        <f>IF(AND('Mapa final'!$Y$30="Muy Baja",'Mapa final'!$AA$30="Catastrófico"),CONCATENATE("R4C",'Mapa final'!$O$30),"")</f>
        <v/>
      </c>
      <c r="AI49" s="56" t="str">
        <f>IF(AND('Mapa final'!$Y$31="Muy Baja",'Mapa final'!$AA$31="Catastrófico"),CONCATENATE("R4C",'Mapa final'!$O$31),"")</f>
        <v/>
      </c>
      <c r="AJ49" s="56" t="str">
        <f>IF(AND('Mapa final'!$Y$32="Muy Baja",'Mapa final'!$AA$32="Catastrófico"),CONCATENATE("R4C",'Mapa final'!$O$32),"")</f>
        <v/>
      </c>
      <c r="AK49" s="56" t="str">
        <f>IF(AND('Mapa final'!$Y$33="Muy Baja",'Mapa final'!$AA$33="Catastrófico"),CONCATENATE("R4C",'Mapa final'!$O$33),"")</f>
        <v/>
      </c>
      <c r="AL49" s="56" t="str">
        <f>IF(AND('Mapa final'!$Y$34="Muy Baja",'Mapa final'!$AA$34="Catastrófico"),CONCATENATE("R4C",'Mapa final'!$O$34),"")</f>
        <v/>
      </c>
      <c r="AM49" s="57" t="str">
        <f>IF(AND('Mapa final'!$Y$35="Muy Baja",'Mapa final'!$AA$35="Catastrófico"),CONCATENATE("R4C",'Mapa final'!$O$35),"")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395"/>
      <c r="C50" s="395"/>
      <c r="D50" s="396"/>
      <c r="E50" s="436"/>
      <c r="F50" s="437"/>
      <c r="G50" s="437"/>
      <c r="H50" s="437"/>
      <c r="I50" s="438"/>
      <c r="J50" s="76" t="str">
        <f>IF(AND('Mapa final'!$Y$36="Muy Baja",'Mapa final'!$AA$36="Leve"),CONCATENATE("R5C",'Mapa final'!$O$36),"")</f>
        <v/>
      </c>
      <c r="K50" s="77" t="str">
        <f>IF(AND('Mapa final'!$Y$37="Muy Baja",'Mapa final'!$AA$37="Leve"),CONCATENATE("R5C",'Mapa final'!$O$37),"")</f>
        <v/>
      </c>
      <c r="L50" s="77" t="str">
        <f>IF(AND('Mapa final'!$Y$38="Muy Baja",'Mapa final'!$AA$38="Leve"),CONCATENATE("R5C",'Mapa final'!$O$38),"")</f>
        <v/>
      </c>
      <c r="M50" s="77" t="str">
        <f>IF(AND('Mapa final'!$Y$39="Muy Baja",'Mapa final'!$AA$39="Leve"),CONCATENATE("R5C",'Mapa final'!$O$39),"")</f>
        <v/>
      </c>
      <c r="N50" s="77" t="str">
        <f>IF(AND('Mapa final'!$Y$40="Muy Baja",'Mapa final'!$AA$40="Leve"),CONCATENATE("R5C",'Mapa final'!$O$40),"")</f>
        <v/>
      </c>
      <c r="O50" s="78" t="str">
        <f>IF(AND('Mapa final'!$Y$41="Muy Baja",'Mapa final'!$AA$41="Leve"),CONCATENATE("R5C",'Mapa final'!$O$41),"")</f>
        <v/>
      </c>
      <c r="P50" s="76" t="str">
        <f>IF(AND('Mapa final'!$Y$36="Muy Baja",'Mapa final'!$AA$36="Menor"),CONCATENATE("R5C",'Mapa final'!$O$36),"")</f>
        <v/>
      </c>
      <c r="Q50" s="77" t="str">
        <f>IF(AND('Mapa final'!$Y$37="Muy Baja",'Mapa final'!$AA$37="Menor"),CONCATENATE("R5C",'Mapa final'!$O$37),"")</f>
        <v/>
      </c>
      <c r="R50" s="77" t="str">
        <f>IF(AND('Mapa final'!$Y$38="Muy Baja",'Mapa final'!$AA$38="Menor"),CONCATENATE("R5C",'Mapa final'!$O$38),"")</f>
        <v/>
      </c>
      <c r="S50" s="77" t="str">
        <f>IF(AND('Mapa final'!$Y$39="Muy Baja",'Mapa final'!$AA$39="Menor"),CONCATENATE("R5C",'Mapa final'!$O$39),"")</f>
        <v/>
      </c>
      <c r="T50" s="77" t="str">
        <f>IF(AND('Mapa final'!$Y$40="Muy Baja",'Mapa final'!$AA$40="Menor"),CONCATENATE("R5C",'Mapa final'!$O$40),"")</f>
        <v/>
      </c>
      <c r="U50" s="78" t="str">
        <f>IF(AND('Mapa final'!$Y$41="Muy Baja",'Mapa final'!$AA$41="Menor"),CONCATENATE("R5C",'Mapa final'!$O$41),"")</f>
        <v/>
      </c>
      <c r="V50" s="67" t="str">
        <f>IF(AND('Mapa final'!$Y$36="Muy Baja",'Mapa final'!$AA$36="Moderado"),CONCATENATE("R5C",'Mapa final'!$O$36),"")</f>
        <v/>
      </c>
      <c r="W50" s="68" t="str">
        <f>IF(AND('Mapa final'!$Y$37="Muy Baja",'Mapa final'!$AA$37="Moderado"),CONCATENATE("R5C",'Mapa final'!$O$37),"")</f>
        <v/>
      </c>
      <c r="X50" s="68" t="str">
        <f>IF(AND('Mapa final'!$Y$38="Muy Baja",'Mapa final'!$AA$38="Moderado"),CONCATENATE("R5C",'Mapa final'!$O$38),"")</f>
        <v/>
      </c>
      <c r="Y50" s="68" t="str">
        <f>IF(AND('Mapa final'!$Y$39="Muy Baja",'Mapa final'!$AA$39="Moderado"),CONCATENATE("R5C",'Mapa final'!$O$39),"")</f>
        <v/>
      </c>
      <c r="Z50" s="68" t="str">
        <f>IF(AND('Mapa final'!$Y$40="Muy Baja",'Mapa final'!$AA$40="Moderado"),CONCATENATE("R5C",'Mapa final'!$O$40),"")</f>
        <v/>
      </c>
      <c r="AA50" s="69" t="str">
        <f>IF(AND('Mapa final'!$Y$41="Muy Baja",'Mapa final'!$AA$41="Moderado"),CONCATENATE("R5C",'Mapa final'!$O$41),"")</f>
        <v/>
      </c>
      <c r="AB50" s="52" t="str">
        <f>IF(AND('Mapa final'!$Y$36="Muy Baja",'Mapa final'!$AA$36="Mayor"),CONCATENATE("R5C",'Mapa final'!$O$36),"")</f>
        <v/>
      </c>
      <c r="AC50" s="53" t="str">
        <f>IF(AND('Mapa final'!$Y$37="Muy Baja",'Mapa final'!$AA$37="Mayor"),CONCATENATE("R5C",'Mapa final'!$O$37),"")</f>
        <v/>
      </c>
      <c r="AD50" s="53" t="str">
        <f>IF(AND('Mapa final'!$Y$38="Muy Baja",'Mapa final'!$AA$38="Mayor"),CONCATENATE("R5C",'Mapa final'!$O$38),"")</f>
        <v/>
      </c>
      <c r="AE50" s="53" t="str">
        <f>IF(AND('Mapa final'!$Y$39="Muy Baja",'Mapa final'!$AA$39="Mayor"),CONCATENATE("R5C",'Mapa final'!$O$39),"")</f>
        <v/>
      </c>
      <c r="AF50" s="53" t="str">
        <f>IF(AND('Mapa final'!$Y$40="Muy Baja",'Mapa final'!$AA$40="Mayor"),CONCATENATE("R5C",'Mapa final'!$O$40),"")</f>
        <v/>
      </c>
      <c r="AG50" s="54" t="str">
        <f>IF(AND('Mapa final'!$Y$41="Muy Baja",'Mapa final'!$AA$41="Mayor"),CONCATENATE("R5C",'Mapa final'!$O$41),"")</f>
        <v/>
      </c>
      <c r="AH50" s="55" t="str">
        <f>IF(AND('Mapa final'!$Y$36="Muy Baja",'Mapa final'!$AA$36="Catastrófico"),CONCATENATE("R5C",'Mapa final'!$O$36),"")</f>
        <v/>
      </c>
      <c r="AI50" s="56" t="str">
        <f>IF(AND('Mapa final'!$Y$37="Muy Baja",'Mapa final'!$AA$37="Catastrófico"),CONCATENATE("R5C",'Mapa final'!$O$37),"")</f>
        <v/>
      </c>
      <c r="AJ50" s="56" t="str">
        <f>IF(AND('Mapa final'!$Y$38="Muy Baja",'Mapa final'!$AA$38="Catastrófico"),CONCATENATE("R5C",'Mapa final'!$O$38),"")</f>
        <v/>
      </c>
      <c r="AK50" s="56" t="str">
        <f>IF(AND('Mapa final'!$Y$39="Muy Baja",'Mapa final'!$AA$39="Catastrófico"),CONCATENATE("R5C",'Mapa final'!$O$39),"")</f>
        <v/>
      </c>
      <c r="AL50" s="56" t="str">
        <f>IF(AND('Mapa final'!$Y$40="Muy Baja",'Mapa final'!$AA$40="Catastrófico"),CONCATENATE("R5C",'Mapa final'!$O$40),"")</f>
        <v/>
      </c>
      <c r="AM50" s="57" t="str">
        <f>IF(AND('Mapa final'!$Y$41="Muy Baja",'Mapa final'!$AA$41="Catastrófico"),CONCATENATE("R5C",'Mapa final'!$O$41),"")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395"/>
      <c r="C51" s="395"/>
      <c r="D51" s="396"/>
      <c r="E51" s="436"/>
      <c r="F51" s="437"/>
      <c r="G51" s="437"/>
      <c r="H51" s="437"/>
      <c r="I51" s="438"/>
      <c r="J51" s="76" t="str">
        <f>IF(AND('Mapa final'!$Y$42="Muy Baja",'Mapa final'!$AA$42="Leve"),CONCATENATE("R6C",'Mapa final'!$O$42),"")</f>
        <v/>
      </c>
      <c r="K51" s="77" t="str">
        <f>IF(AND('Mapa final'!$Y$43="Muy Baja",'Mapa final'!$AA$43="Leve"),CONCATENATE("R6C",'Mapa final'!$O$43),"")</f>
        <v/>
      </c>
      <c r="L51" s="77" t="str">
        <f>IF(AND('Mapa final'!$Y$44="Muy Baja",'Mapa final'!$AA$44="Leve"),CONCATENATE("R6C",'Mapa final'!$O$44),"")</f>
        <v/>
      </c>
      <c r="M51" s="77" t="str">
        <f>IF(AND('Mapa final'!$Y$45="Muy Baja",'Mapa final'!$AA$45="Leve"),CONCATENATE("R6C",'Mapa final'!$O$45),"")</f>
        <v/>
      </c>
      <c r="N51" s="77" t="str">
        <f>IF(AND('Mapa final'!$Y$46="Muy Baja",'Mapa final'!$AA$46="Leve"),CONCATENATE("R6C",'Mapa final'!$O$46),"")</f>
        <v/>
      </c>
      <c r="O51" s="78" t="str">
        <f>IF(AND('Mapa final'!$Y$47="Muy Baja",'Mapa final'!$AA$47="Leve"),CONCATENATE("R6C",'Mapa final'!$O$47),"")</f>
        <v/>
      </c>
      <c r="P51" s="76" t="str">
        <f>IF(AND('Mapa final'!$Y$42="Muy Baja",'Mapa final'!$AA$42="Menor"),CONCATENATE("R6C",'Mapa final'!$O$42),"")</f>
        <v/>
      </c>
      <c r="Q51" s="77" t="str">
        <f>IF(AND('Mapa final'!$Y$43="Muy Baja",'Mapa final'!$AA$43="Menor"),CONCATENATE("R6C",'Mapa final'!$O$43),"")</f>
        <v/>
      </c>
      <c r="R51" s="77" t="str">
        <f>IF(AND('Mapa final'!$Y$44="Muy Baja",'Mapa final'!$AA$44="Menor"),CONCATENATE("R6C",'Mapa final'!$O$44),"")</f>
        <v/>
      </c>
      <c r="S51" s="77" t="str">
        <f>IF(AND('Mapa final'!$Y$45="Muy Baja",'Mapa final'!$AA$45="Menor"),CONCATENATE("R6C",'Mapa final'!$O$45),"")</f>
        <v/>
      </c>
      <c r="T51" s="77" t="str">
        <f>IF(AND('Mapa final'!$Y$46="Muy Baja",'Mapa final'!$AA$46="Menor"),CONCATENATE("R6C",'Mapa final'!$O$46),"")</f>
        <v/>
      </c>
      <c r="U51" s="78" t="str">
        <f>IF(AND('Mapa final'!$Y$47="Muy Baja",'Mapa final'!$AA$47="Menor"),CONCATENATE("R6C",'Mapa final'!$O$47),"")</f>
        <v/>
      </c>
      <c r="V51" s="67" t="str">
        <f>IF(AND('Mapa final'!$Y$42="Muy Baja",'Mapa final'!$AA$42="Moderado"),CONCATENATE("R6C",'Mapa final'!$O$42),"")</f>
        <v/>
      </c>
      <c r="W51" s="68" t="str">
        <f>IF(AND('Mapa final'!$Y$43="Muy Baja",'Mapa final'!$AA$43="Moderado"),CONCATENATE("R6C",'Mapa final'!$O$43),"")</f>
        <v/>
      </c>
      <c r="X51" s="68" t="str">
        <f>IF(AND('Mapa final'!$Y$44="Muy Baja",'Mapa final'!$AA$44="Moderado"),CONCATENATE("R6C",'Mapa final'!$O$44),"")</f>
        <v/>
      </c>
      <c r="Y51" s="68" t="str">
        <f>IF(AND('Mapa final'!$Y$45="Muy Baja",'Mapa final'!$AA$45="Moderado"),CONCATENATE("R6C",'Mapa final'!$O$45),"")</f>
        <v/>
      </c>
      <c r="Z51" s="68" t="str">
        <f>IF(AND('Mapa final'!$Y$46="Muy Baja",'Mapa final'!$AA$46="Moderado"),CONCATENATE("R6C",'Mapa final'!$O$46),"")</f>
        <v/>
      </c>
      <c r="AA51" s="69" t="str">
        <f>IF(AND('Mapa final'!$Y$47="Muy Baja",'Mapa final'!$AA$47="Moderado"),CONCATENATE("R6C",'Mapa final'!$O$47),"")</f>
        <v/>
      </c>
      <c r="AB51" s="52" t="str">
        <f>IF(AND('Mapa final'!$Y$42="Muy Baja",'Mapa final'!$AA$42="Mayor"),CONCATENATE("R6C",'Mapa final'!$O$42),"")</f>
        <v/>
      </c>
      <c r="AC51" s="53" t="str">
        <f>IF(AND('Mapa final'!$Y$43="Muy Baja",'Mapa final'!$AA$43="Mayor"),CONCATENATE("R6C",'Mapa final'!$O$43),"")</f>
        <v/>
      </c>
      <c r="AD51" s="53" t="str">
        <f>IF(AND('Mapa final'!$Y$44="Muy Baja",'Mapa final'!$AA$44="Mayor"),CONCATENATE("R6C",'Mapa final'!$O$44),"")</f>
        <v/>
      </c>
      <c r="AE51" s="53" t="str">
        <f>IF(AND('Mapa final'!$Y$45="Muy Baja",'Mapa final'!$AA$45="Mayor"),CONCATENATE("R6C",'Mapa final'!$O$45),"")</f>
        <v/>
      </c>
      <c r="AF51" s="53" t="str">
        <f>IF(AND('Mapa final'!$Y$46="Muy Baja",'Mapa final'!$AA$46="Mayor"),CONCATENATE("R6C",'Mapa final'!$O$46),"")</f>
        <v/>
      </c>
      <c r="AG51" s="54" t="str">
        <f>IF(AND('Mapa final'!$Y$47="Muy Baja",'Mapa final'!$AA$47="Mayor"),CONCATENATE("R6C",'Mapa final'!$O$47),"")</f>
        <v/>
      </c>
      <c r="AH51" s="55" t="str">
        <f>IF(AND('Mapa final'!$Y$42="Muy Baja",'Mapa final'!$AA$42="Catastrófico"),CONCATENATE("R6C",'Mapa final'!$O$42),"")</f>
        <v/>
      </c>
      <c r="AI51" s="56" t="str">
        <f>IF(AND('Mapa final'!$Y$43="Muy Baja",'Mapa final'!$AA$43="Catastrófico"),CONCATENATE("R6C",'Mapa final'!$O$43),"")</f>
        <v/>
      </c>
      <c r="AJ51" s="56" t="str">
        <f>IF(AND('Mapa final'!$Y$44="Muy Baja",'Mapa final'!$AA$44="Catastrófico"),CONCATENATE("R6C",'Mapa final'!$O$44),"")</f>
        <v/>
      </c>
      <c r="AK51" s="56" t="str">
        <f>IF(AND('Mapa final'!$Y$45="Muy Baja",'Mapa final'!$AA$45="Catastrófico"),CONCATENATE("R6C",'Mapa final'!$O$45),"")</f>
        <v/>
      </c>
      <c r="AL51" s="56" t="str">
        <f>IF(AND('Mapa final'!$Y$46="Muy Baja",'Mapa final'!$AA$46="Catastrófico"),CONCATENATE("R6C",'Mapa final'!$O$46),"")</f>
        <v/>
      </c>
      <c r="AM51" s="57" t="str">
        <f>IF(AND('Mapa final'!$Y$47="Muy Baja",'Mapa final'!$AA$47="Catastrófico"),CONCATENATE("R6C",'Mapa final'!$O$47),"")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395"/>
      <c r="C52" s="395"/>
      <c r="D52" s="396"/>
      <c r="E52" s="436"/>
      <c r="F52" s="437"/>
      <c r="G52" s="437"/>
      <c r="H52" s="437"/>
      <c r="I52" s="438"/>
      <c r="J52" s="76" t="str">
        <f>IF(AND('Mapa final'!$Y$48="Muy Baja",'Mapa final'!$AA$48="Leve"),CONCATENATE("R7C",'Mapa final'!$O$48),"")</f>
        <v/>
      </c>
      <c r="K52" s="77" t="str">
        <f>IF(AND('Mapa final'!$Y$49="Muy Baja",'Mapa final'!$AA$49="Leve"),CONCATENATE("R7C",'Mapa final'!$O$49),"")</f>
        <v/>
      </c>
      <c r="L52" s="77" t="e">
        <f>IF(AND('Mapa final'!#REF!="Muy Baja",'Mapa final'!#REF!="Leve"),CONCATENATE("R7C",'Mapa final'!#REF!),"")</f>
        <v>#REF!</v>
      </c>
      <c r="M52" s="77" t="e">
        <f>IF(AND('Mapa final'!#REF!="Muy Baja",'Mapa final'!#REF!="Leve"),CONCATENATE("R7C",'Mapa final'!#REF!),"")</f>
        <v>#REF!</v>
      </c>
      <c r="N52" s="77" t="e">
        <f>IF(AND('Mapa final'!#REF!="Muy Baja",'Mapa final'!#REF!="Leve"),CONCATENATE("R7C",'Mapa final'!#REF!),"")</f>
        <v>#REF!</v>
      </c>
      <c r="O52" s="78" t="e">
        <f>IF(AND('Mapa final'!#REF!="Muy Baja",'Mapa final'!#REF!="Leve"),CONCATENATE("R7C",'Mapa final'!#REF!),"")</f>
        <v>#REF!</v>
      </c>
      <c r="P52" s="76" t="str">
        <f>IF(AND('Mapa final'!$Y$48="Muy Baja",'Mapa final'!$AA$48="Menor"),CONCATENATE("R7C",'Mapa final'!$O$48),"")</f>
        <v/>
      </c>
      <c r="Q52" s="77" t="str">
        <f>IF(AND('Mapa final'!$Y$49="Muy Baja",'Mapa final'!$AA$49="Menor"),CONCATENATE("R7C",'Mapa final'!$O$49),"")</f>
        <v/>
      </c>
      <c r="R52" s="77" t="e">
        <f>IF(AND('Mapa final'!#REF!="Muy Baja",'Mapa final'!#REF!="Menor"),CONCATENATE("R7C",'Mapa final'!#REF!),"")</f>
        <v>#REF!</v>
      </c>
      <c r="S52" s="77" t="e">
        <f>IF(AND('Mapa final'!#REF!="Muy Baja",'Mapa final'!#REF!="Menor"),CONCATENATE("R7C",'Mapa final'!#REF!),"")</f>
        <v>#REF!</v>
      </c>
      <c r="T52" s="77" t="e">
        <f>IF(AND('Mapa final'!#REF!="Muy Baja",'Mapa final'!#REF!="Menor"),CONCATENATE("R7C",'Mapa final'!#REF!),"")</f>
        <v>#REF!</v>
      </c>
      <c r="U52" s="78" t="e">
        <f>IF(AND('Mapa final'!#REF!="Muy Baja",'Mapa final'!#REF!="Menor"),CONCATENATE("R7C",'Mapa final'!#REF!),"")</f>
        <v>#REF!</v>
      </c>
      <c r="V52" s="67" t="str">
        <f>IF(AND('Mapa final'!$Y$48="Muy Baja",'Mapa final'!$AA$48="Moderado"),CONCATENATE("R7C",'Mapa final'!$O$48),"")</f>
        <v/>
      </c>
      <c r="W52" s="68" t="str">
        <f>IF(AND('Mapa final'!$Y$49="Muy Baja",'Mapa final'!$AA$49="Moderado"),CONCATENATE("R7C",'Mapa final'!$O$49),"")</f>
        <v/>
      </c>
      <c r="X52" s="68" t="e">
        <f>IF(AND('Mapa final'!#REF!="Muy Baja",'Mapa final'!#REF!="Moderado"),CONCATENATE("R7C",'Mapa final'!#REF!),"")</f>
        <v>#REF!</v>
      </c>
      <c r="Y52" s="68" t="e">
        <f>IF(AND('Mapa final'!#REF!="Muy Baja",'Mapa final'!#REF!="Moderado"),CONCATENATE("R7C",'Mapa final'!#REF!),"")</f>
        <v>#REF!</v>
      </c>
      <c r="Z52" s="68" t="e">
        <f>IF(AND('Mapa final'!#REF!="Muy Baja",'Mapa final'!#REF!="Moderado"),CONCATENATE("R7C",'Mapa final'!#REF!),"")</f>
        <v>#REF!</v>
      </c>
      <c r="AA52" s="69" t="e">
        <f>IF(AND('Mapa final'!#REF!="Muy Baja",'Mapa final'!#REF!="Moderado"),CONCATENATE("R7C",'Mapa final'!#REF!),"")</f>
        <v>#REF!</v>
      </c>
      <c r="AB52" s="52" t="str">
        <f>IF(AND('Mapa final'!$Y$48="Muy Baja",'Mapa final'!$AA$48="Mayor"),CONCATENATE("R7C",'Mapa final'!$O$48),"")</f>
        <v/>
      </c>
      <c r="AC52" s="53" t="str">
        <f>IF(AND('Mapa final'!$Y$49="Muy Baja",'Mapa final'!$AA$49="Mayor"),CONCATENATE("R7C",'Mapa final'!$O$49),"")</f>
        <v/>
      </c>
      <c r="AD52" s="53" t="e">
        <f>IF(AND('Mapa final'!#REF!="Muy Baja",'Mapa final'!#REF!="Mayor"),CONCATENATE("R7C",'Mapa final'!#REF!),"")</f>
        <v>#REF!</v>
      </c>
      <c r="AE52" s="53" t="e">
        <f>IF(AND('Mapa final'!#REF!="Muy Baja",'Mapa final'!#REF!="Mayor"),CONCATENATE("R7C",'Mapa final'!#REF!),"")</f>
        <v>#REF!</v>
      </c>
      <c r="AF52" s="53" t="e">
        <f>IF(AND('Mapa final'!#REF!="Muy Baja",'Mapa final'!#REF!="Mayor"),CONCATENATE("R7C",'Mapa final'!#REF!),"")</f>
        <v>#REF!</v>
      </c>
      <c r="AG52" s="54" t="e">
        <f>IF(AND('Mapa final'!#REF!="Muy Baja",'Mapa final'!#REF!="Mayor"),CONCATENATE("R7C",'Mapa final'!#REF!),"")</f>
        <v>#REF!</v>
      </c>
      <c r="AH52" s="55" t="str">
        <f>IF(AND('Mapa final'!$Y$48="Muy Baja",'Mapa final'!$AA$48="Catastrófico"),CONCATENATE("R7C",'Mapa final'!$O$48),"")</f>
        <v/>
      </c>
      <c r="AI52" s="56" t="str">
        <f>IF(AND('Mapa final'!$Y$49="Muy Baja",'Mapa final'!$AA$49="Catastrófico"),CONCATENATE("R7C",'Mapa final'!$O$49),"")</f>
        <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395"/>
      <c r="C53" s="395"/>
      <c r="D53" s="396"/>
      <c r="E53" s="436"/>
      <c r="F53" s="437"/>
      <c r="G53" s="437"/>
      <c r="H53" s="437"/>
      <c r="I53" s="438"/>
      <c r="J53" s="76" t="str">
        <f>IF(AND('Mapa final'!$Y$50="Muy Baja",'Mapa final'!$AA$50="Leve"),CONCATENATE("R8C",'Mapa final'!$O$50),"")</f>
        <v/>
      </c>
      <c r="K53" s="77" t="str">
        <f>IF(AND('Mapa final'!$Y$51="Muy Baja",'Mapa final'!$AA$51="Leve"),CONCATENATE("R8C",'Mapa final'!$O$51),"")</f>
        <v/>
      </c>
      <c r="L53" s="77" t="str">
        <f>IF(AND('Mapa final'!$Y$52="Muy Baja",'Mapa final'!$AA$52="Leve"),CONCATENATE("R8C",'Mapa final'!$O$52),"")</f>
        <v/>
      </c>
      <c r="M53" s="77" t="str">
        <f>IF(AND('Mapa final'!$Y$53="Muy Baja",'Mapa final'!$AA$53="Leve"),CONCATENATE("R8C",'Mapa final'!$O$53),"")</f>
        <v/>
      </c>
      <c r="N53" s="77" t="str">
        <f>IF(AND('Mapa final'!$Y$54="Muy Baja",'Mapa final'!$AA$54="Leve"),CONCATENATE("R8C",'Mapa final'!$O$54),"")</f>
        <v/>
      </c>
      <c r="O53" s="78" t="str">
        <f>IF(AND('Mapa final'!$Y$55="Muy Baja",'Mapa final'!$AA$55="Leve"),CONCATENATE("R8C",'Mapa final'!$O$55),"")</f>
        <v/>
      </c>
      <c r="P53" s="76" t="str">
        <f>IF(AND('Mapa final'!$Y$50="Muy Baja",'Mapa final'!$AA$50="Menor"),CONCATENATE("R8C",'Mapa final'!$O$50),"")</f>
        <v/>
      </c>
      <c r="Q53" s="77" t="str">
        <f>IF(AND('Mapa final'!$Y$51="Muy Baja",'Mapa final'!$AA$51="Menor"),CONCATENATE("R8C",'Mapa final'!$O$51),"")</f>
        <v/>
      </c>
      <c r="R53" s="77" t="str">
        <f>IF(AND('Mapa final'!$Y$52="Muy Baja",'Mapa final'!$AA$52="Menor"),CONCATENATE("R8C",'Mapa final'!$O$52),"")</f>
        <v/>
      </c>
      <c r="S53" s="77" t="str">
        <f>IF(AND('Mapa final'!$Y$53="Muy Baja",'Mapa final'!$AA$53="Menor"),CONCATENATE("R8C",'Mapa final'!$O$53),"")</f>
        <v/>
      </c>
      <c r="T53" s="77" t="str">
        <f>IF(AND('Mapa final'!$Y$54="Muy Baja",'Mapa final'!$AA$54="Menor"),CONCATENATE("R8C",'Mapa final'!$O$54),"")</f>
        <v/>
      </c>
      <c r="U53" s="78" t="str">
        <f>IF(AND('Mapa final'!$Y$55="Muy Baja",'Mapa final'!$AA$55="Menor"),CONCATENATE("R8C",'Mapa final'!$O$55),"")</f>
        <v/>
      </c>
      <c r="V53" s="67" t="str">
        <f>IF(AND('Mapa final'!$Y$50="Muy Baja",'Mapa final'!$AA$50="Moderado"),CONCATENATE("R8C",'Mapa final'!$O$50),"")</f>
        <v/>
      </c>
      <c r="W53" s="68" t="str">
        <f>IF(AND('Mapa final'!$Y$51="Muy Baja",'Mapa final'!$AA$51="Moderado"),CONCATENATE("R8C",'Mapa final'!$O$51),"")</f>
        <v/>
      </c>
      <c r="X53" s="68" t="str">
        <f>IF(AND('Mapa final'!$Y$52="Muy Baja",'Mapa final'!$AA$52="Moderado"),CONCATENATE("R8C",'Mapa final'!$O$52),"")</f>
        <v/>
      </c>
      <c r="Y53" s="68" t="str">
        <f>IF(AND('Mapa final'!$Y$53="Muy Baja",'Mapa final'!$AA$53="Moderado"),CONCATENATE("R8C",'Mapa final'!$O$53),"")</f>
        <v/>
      </c>
      <c r="Z53" s="68" t="str">
        <f>IF(AND('Mapa final'!$Y$54="Muy Baja",'Mapa final'!$AA$54="Moderado"),CONCATENATE("R8C",'Mapa final'!$O$54),"")</f>
        <v/>
      </c>
      <c r="AA53" s="69" t="str">
        <f>IF(AND('Mapa final'!$Y$55="Muy Baja",'Mapa final'!$AA$55="Moderado"),CONCATENATE("R8C",'Mapa final'!$O$55),"")</f>
        <v/>
      </c>
      <c r="AB53" s="52" t="str">
        <f>IF(AND('Mapa final'!$Y$50="Muy Baja",'Mapa final'!$AA$50="Mayor"),CONCATENATE("R8C",'Mapa final'!$O$50),"")</f>
        <v/>
      </c>
      <c r="AC53" s="53" t="str">
        <f>IF(AND('Mapa final'!$Y$51="Muy Baja",'Mapa final'!$AA$51="Mayor"),CONCATENATE("R8C",'Mapa final'!$O$51),"")</f>
        <v/>
      </c>
      <c r="AD53" s="53" t="str">
        <f>IF(AND('Mapa final'!$Y$52="Muy Baja",'Mapa final'!$AA$52="Mayor"),CONCATENATE("R8C",'Mapa final'!$O$52),"")</f>
        <v/>
      </c>
      <c r="AE53" s="53" t="str">
        <f>IF(AND('Mapa final'!$Y$53="Muy Baja",'Mapa final'!$AA$53="Mayor"),CONCATENATE("R8C",'Mapa final'!$O$53),"")</f>
        <v/>
      </c>
      <c r="AF53" s="53" t="str">
        <f>IF(AND('Mapa final'!$Y$54="Muy Baja",'Mapa final'!$AA$54="Mayor"),CONCATENATE("R8C",'Mapa final'!$O$54),"")</f>
        <v/>
      </c>
      <c r="AG53" s="54" t="str">
        <f>IF(AND('Mapa final'!$Y$55="Muy Baja",'Mapa final'!$AA$55="Mayor"),CONCATENATE("R8C",'Mapa final'!$O$55),"")</f>
        <v/>
      </c>
      <c r="AH53" s="55" t="str">
        <f>IF(AND('Mapa final'!$Y$50="Muy Baja",'Mapa final'!$AA$50="Catastrófico"),CONCATENATE("R8C",'Mapa final'!$O$50),"")</f>
        <v/>
      </c>
      <c r="AI53" s="56" t="str">
        <f>IF(AND('Mapa final'!$Y$51="Muy Baja",'Mapa final'!$AA$51="Catastrófico"),CONCATENATE("R8C",'Mapa final'!$O$51),"")</f>
        <v/>
      </c>
      <c r="AJ53" s="56" t="str">
        <f>IF(AND('Mapa final'!$Y$52="Muy Baja",'Mapa final'!$AA$52="Catastrófico"),CONCATENATE("R8C",'Mapa final'!$O$52),"")</f>
        <v/>
      </c>
      <c r="AK53" s="56" t="str">
        <f>IF(AND('Mapa final'!$Y$53="Muy Baja",'Mapa final'!$AA$53="Catastrófico"),CONCATENATE("R8C",'Mapa final'!$O$53),"")</f>
        <v/>
      </c>
      <c r="AL53" s="56" t="str">
        <f>IF(AND('Mapa final'!$Y$54="Muy Baja",'Mapa final'!$AA$54="Catastrófico"),CONCATENATE("R8C",'Mapa final'!$O$54),"")</f>
        <v/>
      </c>
      <c r="AM53" s="57" t="str">
        <f>IF(AND('Mapa final'!$Y$55="Muy Baja",'Mapa final'!$AA$55="Catastrófico"),CONCATENATE("R8C",'Mapa final'!$O$55),"")</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395"/>
      <c r="C54" s="395"/>
      <c r="D54" s="396"/>
      <c r="E54" s="436"/>
      <c r="F54" s="437"/>
      <c r="G54" s="437"/>
      <c r="H54" s="437"/>
      <c r="I54" s="438"/>
      <c r="J54" s="76" t="str">
        <f>IF(AND('Mapa final'!$Y$56="Muy Baja",'Mapa final'!$AA$56="Leve"),CONCATENATE("R9C",'Mapa final'!$O$56),"")</f>
        <v/>
      </c>
      <c r="K54" s="77" t="str">
        <f>IF(AND('Mapa final'!$Y$57="Muy Baja",'Mapa final'!$AA$57="Leve"),CONCATENATE("R9C",'Mapa final'!$O$57),"")</f>
        <v/>
      </c>
      <c r="L54" s="77" t="str">
        <f>IF(AND('Mapa final'!$Y$58="Muy Baja",'Mapa final'!$AA$58="Leve"),CONCATENATE("R9C",'Mapa final'!$O$58),"")</f>
        <v/>
      </c>
      <c r="M54" s="77" t="str">
        <f>IF(AND('Mapa final'!$Y$59="Muy Baja",'Mapa final'!$AA$59="Leve"),CONCATENATE("R9C",'Mapa final'!$O$59),"")</f>
        <v/>
      </c>
      <c r="N54" s="77" t="str">
        <f>IF(AND('Mapa final'!$Y$60="Muy Baja",'Mapa final'!$AA$60="Leve"),CONCATENATE("R9C",'Mapa final'!$O$60),"")</f>
        <v/>
      </c>
      <c r="O54" s="78" t="str">
        <f>IF(AND('Mapa final'!$Y$61="Muy Baja",'Mapa final'!$AA$61="Leve"),CONCATENATE("R9C",'Mapa final'!$O$61),"")</f>
        <v/>
      </c>
      <c r="P54" s="76" t="str">
        <f>IF(AND('Mapa final'!$Y$56="Muy Baja",'Mapa final'!$AA$56="Menor"),CONCATENATE("R9C",'Mapa final'!$O$56),"")</f>
        <v/>
      </c>
      <c r="Q54" s="77" t="str">
        <f>IF(AND('Mapa final'!$Y$57="Muy Baja",'Mapa final'!$AA$57="Menor"),CONCATENATE("R9C",'Mapa final'!$O$57),"")</f>
        <v/>
      </c>
      <c r="R54" s="77" t="str">
        <f>IF(AND('Mapa final'!$Y$58="Muy Baja",'Mapa final'!$AA$58="Menor"),CONCATENATE("R9C",'Mapa final'!$O$58),"")</f>
        <v/>
      </c>
      <c r="S54" s="77" t="str">
        <f>IF(AND('Mapa final'!$Y$59="Muy Baja",'Mapa final'!$AA$59="Menor"),CONCATENATE("R9C",'Mapa final'!$O$59),"")</f>
        <v/>
      </c>
      <c r="T54" s="77" t="str">
        <f>IF(AND('Mapa final'!$Y$60="Muy Baja",'Mapa final'!$AA$60="Menor"),CONCATENATE("R9C",'Mapa final'!$O$60),"")</f>
        <v/>
      </c>
      <c r="U54" s="78" t="str">
        <f>IF(AND('Mapa final'!$Y$61="Muy Baja",'Mapa final'!$AA$61="Menor"),CONCATENATE("R9C",'Mapa final'!$O$61),"")</f>
        <v/>
      </c>
      <c r="V54" s="67" t="str">
        <f>IF(AND('Mapa final'!$Y$56="Muy Baja",'Mapa final'!$AA$56="Moderado"),CONCATENATE("R9C",'Mapa final'!$O$56),"")</f>
        <v/>
      </c>
      <c r="W54" s="68" t="str">
        <f>IF(AND('Mapa final'!$Y$57="Muy Baja",'Mapa final'!$AA$57="Moderado"),CONCATENATE("R9C",'Mapa final'!$O$57),"")</f>
        <v/>
      </c>
      <c r="X54" s="68" t="str">
        <f>IF(AND('Mapa final'!$Y$58="Muy Baja",'Mapa final'!$AA$58="Moderado"),CONCATENATE("R9C",'Mapa final'!$O$58),"")</f>
        <v/>
      </c>
      <c r="Y54" s="68" t="str">
        <f>IF(AND('Mapa final'!$Y$59="Muy Baja",'Mapa final'!$AA$59="Moderado"),CONCATENATE("R9C",'Mapa final'!$O$59),"")</f>
        <v/>
      </c>
      <c r="Z54" s="68" t="str">
        <f>IF(AND('Mapa final'!$Y$60="Muy Baja",'Mapa final'!$AA$60="Moderado"),CONCATENATE("R9C",'Mapa final'!$O$60),"")</f>
        <v/>
      </c>
      <c r="AA54" s="69" t="str">
        <f>IF(AND('Mapa final'!$Y$61="Muy Baja",'Mapa final'!$AA$61="Moderado"),CONCATENATE("R9C",'Mapa final'!$O$61),"")</f>
        <v/>
      </c>
      <c r="AB54" s="52" t="str">
        <f>IF(AND('Mapa final'!$Y$56="Muy Baja",'Mapa final'!$AA$56="Mayor"),CONCATENATE("R9C",'Mapa final'!$O$56),"")</f>
        <v/>
      </c>
      <c r="AC54" s="53" t="str">
        <f>IF(AND('Mapa final'!$Y$57="Muy Baja",'Mapa final'!$AA$57="Mayor"),CONCATENATE("R9C",'Mapa final'!$O$57),"")</f>
        <v/>
      </c>
      <c r="AD54" s="53" t="str">
        <f>IF(AND('Mapa final'!$Y$58="Muy Baja",'Mapa final'!$AA$58="Mayor"),CONCATENATE("R9C",'Mapa final'!$O$58),"")</f>
        <v/>
      </c>
      <c r="AE54" s="53" t="str">
        <f>IF(AND('Mapa final'!$Y$59="Muy Baja",'Mapa final'!$AA$59="Mayor"),CONCATENATE("R9C",'Mapa final'!$O$59),"")</f>
        <v/>
      </c>
      <c r="AF54" s="53" t="str">
        <f>IF(AND('Mapa final'!$Y$60="Muy Baja",'Mapa final'!$AA$60="Mayor"),CONCATENATE("R9C",'Mapa final'!$O$60),"")</f>
        <v/>
      </c>
      <c r="AG54" s="54" t="str">
        <f>IF(AND('Mapa final'!$Y$61="Muy Baja",'Mapa final'!$AA$61="Mayor"),CONCATENATE("R9C",'Mapa final'!$O$61),"")</f>
        <v/>
      </c>
      <c r="AH54" s="55" t="str">
        <f>IF(AND('Mapa final'!$Y$56="Muy Baja",'Mapa final'!$AA$56="Catastrófico"),CONCATENATE("R9C",'Mapa final'!$O$56),"")</f>
        <v/>
      </c>
      <c r="AI54" s="56" t="str">
        <f>IF(AND('Mapa final'!$Y$57="Muy Baja",'Mapa final'!$AA$57="Catastrófico"),CONCATENATE("R9C",'Mapa final'!$O$57),"")</f>
        <v/>
      </c>
      <c r="AJ54" s="56" t="str">
        <f>IF(AND('Mapa final'!$Y$58="Muy Baja",'Mapa final'!$AA$58="Catastrófico"),CONCATENATE("R9C",'Mapa final'!$O$58),"")</f>
        <v/>
      </c>
      <c r="AK54" s="56" t="str">
        <f>IF(AND('Mapa final'!$Y$59="Muy Baja",'Mapa final'!$AA$59="Catastrófico"),CONCATENATE("R9C",'Mapa final'!$O$59),"")</f>
        <v/>
      </c>
      <c r="AL54" s="56" t="str">
        <f>IF(AND('Mapa final'!$Y$60="Muy Baja",'Mapa final'!$AA$60="Catastrófico"),CONCATENATE("R9C",'Mapa final'!$O$60),"")</f>
        <v/>
      </c>
      <c r="AM54" s="57" t="str">
        <f>IF(AND('Mapa final'!$Y$61="Muy Baja",'Mapa final'!$AA$61="Catastrófico"),CONCATENATE("R9C",'Mapa final'!$O$61),"")</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395"/>
      <c r="C55" s="395"/>
      <c r="D55" s="396"/>
      <c r="E55" s="439"/>
      <c r="F55" s="440"/>
      <c r="G55" s="440"/>
      <c r="H55" s="440"/>
      <c r="I55" s="441"/>
      <c r="J55" s="79" t="str">
        <f>IF(AND('Mapa final'!$Y$62="Muy Baja",'Mapa final'!$AA$62="Leve"),CONCATENATE("R10C",'Mapa final'!$O$62),"")</f>
        <v/>
      </c>
      <c r="K55" s="80" t="str">
        <f>IF(AND('Mapa final'!$Y$63="Muy Baja",'Mapa final'!$AA$63="Leve"),CONCATENATE("R10C",'Mapa final'!$O$63),"")</f>
        <v/>
      </c>
      <c r="L55" s="80" t="str">
        <f>IF(AND('Mapa final'!$Y$64="Muy Baja",'Mapa final'!$AA$64="Leve"),CONCATENATE("R10C",'Mapa final'!$O$64),"")</f>
        <v/>
      </c>
      <c r="M55" s="80" t="str">
        <f>IF(AND('Mapa final'!$Y$65="Muy Baja",'Mapa final'!$AA$65="Leve"),CONCATENATE("R10C",'Mapa final'!$O$65),"")</f>
        <v/>
      </c>
      <c r="N55" s="80" t="str">
        <f>IF(AND('Mapa final'!$Y$66="Muy Baja",'Mapa final'!$AA$66="Leve"),CONCATENATE("R10C",'Mapa final'!$O$66),"")</f>
        <v/>
      </c>
      <c r="O55" s="81" t="str">
        <f>IF(AND('Mapa final'!$Y$67="Muy Baja",'Mapa final'!$AA$67="Leve"),CONCATENATE("R10C",'Mapa final'!$O$67),"")</f>
        <v/>
      </c>
      <c r="P55" s="79" t="str">
        <f>IF(AND('Mapa final'!$Y$62="Muy Baja",'Mapa final'!$AA$62="Menor"),CONCATENATE("R10C",'Mapa final'!$O$62),"")</f>
        <v/>
      </c>
      <c r="Q55" s="80" t="str">
        <f>IF(AND('Mapa final'!$Y$63="Muy Baja",'Mapa final'!$AA$63="Menor"),CONCATENATE("R10C",'Mapa final'!$O$63),"")</f>
        <v/>
      </c>
      <c r="R55" s="80" t="str">
        <f>IF(AND('Mapa final'!$Y$64="Muy Baja",'Mapa final'!$AA$64="Menor"),CONCATENATE("R10C",'Mapa final'!$O$64),"")</f>
        <v/>
      </c>
      <c r="S55" s="80" t="str">
        <f>IF(AND('Mapa final'!$Y$65="Muy Baja",'Mapa final'!$AA$65="Menor"),CONCATENATE("R10C",'Mapa final'!$O$65),"")</f>
        <v/>
      </c>
      <c r="T55" s="80" t="str">
        <f>IF(AND('Mapa final'!$Y$66="Muy Baja",'Mapa final'!$AA$66="Menor"),CONCATENATE("R10C",'Mapa final'!$O$66),"")</f>
        <v/>
      </c>
      <c r="U55" s="81" t="str">
        <f>IF(AND('Mapa final'!$Y$67="Muy Baja",'Mapa final'!$AA$67="Menor"),CONCATENATE("R10C",'Mapa final'!$O$67),"")</f>
        <v/>
      </c>
      <c r="V55" s="70" t="str">
        <f>IF(AND('Mapa final'!$Y$62="Muy Baja",'Mapa final'!$AA$62="Moderado"),CONCATENATE("R10C",'Mapa final'!$O$62),"")</f>
        <v/>
      </c>
      <c r="W55" s="71" t="str">
        <f>IF(AND('Mapa final'!$Y$63="Muy Baja",'Mapa final'!$AA$63="Moderado"),CONCATENATE("R10C",'Mapa final'!$O$63),"")</f>
        <v/>
      </c>
      <c r="X55" s="71" t="str">
        <f>IF(AND('Mapa final'!$Y$64="Muy Baja",'Mapa final'!$AA$64="Moderado"),CONCATENATE("R10C",'Mapa final'!$O$64),"")</f>
        <v/>
      </c>
      <c r="Y55" s="71" t="str">
        <f>IF(AND('Mapa final'!$Y$65="Muy Baja",'Mapa final'!$AA$65="Moderado"),CONCATENATE("R10C",'Mapa final'!$O$65),"")</f>
        <v/>
      </c>
      <c r="Z55" s="71" t="str">
        <f>IF(AND('Mapa final'!$Y$66="Muy Baja",'Mapa final'!$AA$66="Moderado"),CONCATENATE("R10C",'Mapa final'!$O$66),"")</f>
        <v/>
      </c>
      <c r="AA55" s="72" t="str">
        <f>IF(AND('Mapa final'!$Y$67="Muy Baja",'Mapa final'!$AA$67="Moderado"),CONCATENATE("R10C",'Mapa final'!$O$67),"")</f>
        <v/>
      </c>
      <c r="AB55" s="58" t="str">
        <f>IF(AND('Mapa final'!$Y$62="Muy Baja",'Mapa final'!$AA$62="Mayor"),CONCATENATE("R10C",'Mapa final'!$O$62),"")</f>
        <v/>
      </c>
      <c r="AC55" s="59" t="str">
        <f>IF(AND('Mapa final'!$Y$63="Muy Baja",'Mapa final'!$AA$63="Mayor"),CONCATENATE("R10C",'Mapa final'!$O$63),"")</f>
        <v/>
      </c>
      <c r="AD55" s="59" t="str">
        <f>IF(AND('Mapa final'!$Y$64="Muy Baja",'Mapa final'!$AA$64="Mayor"),CONCATENATE("R10C",'Mapa final'!$O$64),"")</f>
        <v/>
      </c>
      <c r="AE55" s="59" t="str">
        <f>IF(AND('Mapa final'!$Y$65="Muy Baja",'Mapa final'!$AA$65="Mayor"),CONCATENATE("R10C",'Mapa final'!$O$65),"")</f>
        <v/>
      </c>
      <c r="AF55" s="59" t="str">
        <f>IF(AND('Mapa final'!$Y$66="Muy Baja",'Mapa final'!$AA$66="Mayor"),CONCATENATE("R10C",'Mapa final'!$O$66),"")</f>
        <v/>
      </c>
      <c r="AG55" s="60" t="str">
        <f>IF(AND('Mapa final'!$Y$67="Muy Baja",'Mapa final'!$AA$67="Mayor"),CONCATENATE("R10C",'Mapa final'!$O$67),"")</f>
        <v/>
      </c>
      <c r="AH55" s="61" t="str">
        <f>IF(AND('Mapa final'!$Y$62="Muy Baja",'Mapa final'!$AA$62="Catastrófico"),CONCATENATE("R10C",'Mapa final'!$O$62),"")</f>
        <v/>
      </c>
      <c r="AI55" s="62" t="str">
        <f>IF(AND('Mapa final'!$Y$63="Muy Baja",'Mapa final'!$AA$63="Catastrófico"),CONCATENATE("R10C",'Mapa final'!$O$63),"")</f>
        <v/>
      </c>
      <c r="AJ55" s="62" t="str">
        <f>IF(AND('Mapa final'!$Y$64="Muy Baja",'Mapa final'!$AA$64="Catastrófico"),CONCATENATE("R10C",'Mapa final'!$O$64),"")</f>
        <v/>
      </c>
      <c r="AK55" s="62" t="str">
        <f>IF(AND('Mapa final'!$Y$65="Muy Baja",'Mapa final'!$AA$65="Catastrófico"),CONCATENATE("R10C",'Mapa final'!$O$65),"")</f>
        <v/>
      </c>
      <c r="AL55" s="62" t="str">
        <f>IF(AND('Mapa final'!$Y$66="Muy Baja",'Mapa final'!$AA$66="Catastrófico"),CONCATENATE("R10C",'Mapa final'!$O$66),"")</f>
        <v/>
      </c>
      <c r="AM55" s="63" t="str">
        <f>IF(AND('Mapa final'!$Y$67="Muy Baja",'Mapa final'!$AA$67="Catastrófico"),CONCATENATE("R10C",'Mapa final'!$O$67),"")</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433" t="s">
        <v>101</v>
      </c>
      <c r="K56" s="434"/>
      <c r="L56" s="434"/>
      <c r="M56" s="434"/>
      <c r="N56" s="434"/>
      <c r="O56" s="435"/>
      <c r="P56" s="433" t="s">
        <v>102</v>
      </c>
      <c r="Q56" s="434"/>
      <c r="R56" s="434"/>
      <c r="S56" s="434"/>
      <c r="T56" s="434"/>
      <c r="U56" s="435"/>
      <c r="V56" s="433" t="s">
        <v>103</v>
      </c>
      <c r="W56" s="434"/>
      <c r="X56" s="434"/>
      <c r="Y56" s="434"/>
      <c r="Z56" s="434"/>
      <c r="AA56" s="435"/>
      <c r="AB56" s="433" t="s">
        <v>104</v>
      </c>
      <c r="AC56" s="442"/>
      <c r="AD56" s="434"/>
      <c r="AE56" s="434"/>
      <c r="AF56" s="434"/>
      <c r="AG56" s="435"/>
      <c r="AH56" s="433" t="s">
        <v>105</v>
      </c>
      <c r="AI56" s="434"/>
      <c r="AJ56" s="434"/>
      <c r="AK56" s="434"/>
      <c r="AL56" s="434"/>
      <c r="AM56" s="435"/>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436"/>
      <c r="K57" s="437"/>
      <c r="L57" s="437"/>
      <c r="M57" s="437"/>
      <c r="N57" s="437"/>
      <c r="O57" s="438"/>
      <c r="P57" s="436"/>
      <c r="Q57" s="437"/>
      <c r="R57" s="437"/>
      <c r="S57" s="437"/>
      <c r="T57" s="437"/>
      <c r="U57" s="438"/>
      <c r="V57" s="436"/>
      <c r="W57" s="437"/>
      <c r="X57" s="437"/>
      <c r="Y57" s="437"/>
      <c r="Z57" s="437"/>
      <c r="AA57" s="438"/>
      <c r="AB57" s="436"/>
      <c r="AC57" s="437"/>
      <c r="AD57" s="437"/>
      <c r="AE57" s="437"/>
      <c r="AF57" s="437"/>
      <c r="AG57" s="438"/>
      <c r="AH57" s="436"/>
      <c r="AI57" s="437"/>
      <c r="AJ57" s="437"/>
      <c r="AK57" s="437"/>
      <c r="AL57" s="437"/>
      <c r="AM57" s="438"/>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436"/>
      <c r="K58" s="437"/>
      <c r="L58" s="437"/>
      <c r="M58" s="437"/>
      <c r="N58" s="437"/>
      <c r="O58" s="438"/>
      <c r="P58" s="436"/>
      <c r="Q58" s="437"/>
      <c r="R58" s="437"/>
      <c r="S58" s="437"/>
      <c r="T58" s="437"/>
      <c r="U58" s="438"/>
      <c r="V58" s="436"/>
      <c r="W58" s="437"/>
      <c r="X58" s="437"/>
      <c r="Y58" s="437"/>
      <c r="Z58" s="437"/>
      <c r="AA58" s="438"/>
      <c r="AB58" s="436"/>
      <c r="AC58" s="437"/>
      <c r="AD58" s="437"/>
      <c r="AE58" s="437"/>
      <c r="AF58" s="437"/>
      <c r="AG58" s="438"/>
      <c r="AH58" s="436"/>
      <c r="AI58" s="437"/>
      <c r="AJ58" s="437"/>
      <c r="AK58" s="437"/>
      <c r="AL58" s="437"/>
      <c r="AM58" s="438"/>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436"/>
      <c r="K59" s="437"/>
      <c r="L59" s="437"/>
      <c r="M59" s="437"/>
      <c r="N59" s="437"/>
      <c r="O59" s="438"/>
      <c r="P59" s="436"/>
      <c r="Q59" s="437"/>
      <c r="R59" s="437"/>
      <c r="S59" s="437"/>
      <c r="T59" s="437"/>
      <c r="U59" s="438"/>
      <c r="V59" s="436"/>
      <c r="W59" s="437"/>
      <c r="X59" s="437"/>
      <c r="Y59" s="437"/>
      <c r="Z59" s="437"/>
      <c r="AA59" s="438"/>
      <c r="AB59" s="436"/>
      <c r="AC59" s="437"/>
      <c r="AD59" s="437"/>
      <c r="AE59" s="437"/>
      <c r="AF59" s="437"/>
      <c r="AG59" s="438"/>
      <c r="AH59" s="436"/>
      <c r="AI59" s="437"/>
      <c r="AJ59" s="437"/>
      <c r="AK59" s="437"/>
      <c r="AL59" s="437"/>
      <c r="AM59" s="438"/>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436"/>
      <c r="K60" s="437"/>
      <c r="L60" s="437"/>
      <c r="M60" s="437"/>
      <c r="N60" s="437"/>
      <c r="O60" s="438"/>
      <c r="P60" s="436"/>
      <c r="Q60" s="437"/>
      <c r="R60" s="437"/>
      <c r="S60" s="437"/>
      <c r="T60" s="437"/>
      <c r="U60" s="438"/>
      <c r="V60" s="436"/>
      <c r="W60" s="437"/>
      <c r="X60" s="437"/>
      <c r="Y60" s="437"/>
      <c r="Z60" s="437"/>
      <c r="AA60" s="438"/>
      <c r="AB60" s="436"/>
      <c r="AC60" s="437"/>
      <c r="AD60" s="437"/>
      <c r="AE60" s="437"/>
      <c r="AF60" s="437"/>
      <c r="AG60" s="438"/>
      <c r="AH60" s="436"/>
      <c r="AI60" s="437"/>
      <c r="AJ60" s="437"/>
      <c r="AK60" s="437"/>
      <c r="AL60" s="437"/>
      <c r="AM60" s="438"/>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439"/>
      <c r="K61" s="440"/>
      <c r="L61" s="440"/>
      <c r="M61" s="440"/>
      <c r="N61" s="440"/>
      <c r="O61" s="441"/>
      <c r="P61" s="439"/>
      <c r="Q61" s="440"/>
      <c r="R61" s="440"/>
      <c r="S61" s="440"/>
      <c r="T61" s="440"/>
      <c r="U61" s="441"/>
      <c r="V61" s="439"/>
      <c r="W61" s="440"/>
      <c r="X61" s="440"/>
      <c r="Y61" s="440"/>
      <c r="Z61" s="440"/>
      <c r="AA61" s="441"/>
      <c r="AB61" s="439"/>
      <c r="AC61" s="440"/>
      <c r="AD61" s="440"/>
      <c r="AE61" s="440"/>
      <c r="AF61" s="440"/>
      <c r="AG61" s="441"/>
      <c r="AH61" s="439"/>
      <c r="AI61" s="440"/>
      <c r="AJ61" s="440"/>
      <c r="AK61" s="440"/>
      <c r="AL61" s="440"/>
      <c r="AM61" s="44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482" t="s">
        <v>107</v>
      </c>
      <c r="C1" s="482"/>
      <c r="D1" s="482"/>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108</v>
      </c>
      <c r="D3" s="12" t="s">
        <v>91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109</v>
      </c>
      <c r="C4" s="14" t="s">
        <v>110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111</v>
      </c>
      <c r="C5" s="17" t="s">
        <v>112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113</v>
      </c>
      <c r="C6" s="17" t="s">
        <v>114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115</v>
      </c>
      <c r="C7" s="17" t="s">
        <v>116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117</v>
      </c>
      <c r="C8" s="17" t="s">
        <v>118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E4" sqref="D4:E4"/>
    </sheetView>
  </sheetViews>
  <sheetFormatPr baseColWidth="10" defaultColWidth="11.42578125" defaultRowHeight="15" x14ac:dyDescent="0.25"/>
  <cols>
    <col min="1" max="1" width="5.42578125" customWidth="1"/>
    <col min="2" max="2" width="40.42578125" customWidth="1"/>
    <col min="3" max="3" width="69.5703125" customWidth="1"/>
    <col min="4" max="4" width="135" bestFit="1" customWidth="1"/>
    <col min="5" max="5" width="56.140625" customWidth="1"/>
  </cols>
  <sheetData>
    <row r="1" spans="1:21" ht="33.75" x14ac:dyDescent="0.25">
      <c r="A1" s="83"/>
      <c r="B1" s="483" t="s">
        <v>119</v>
      </c>
      <c r="C1" s="483"/>
      <c r="D1" s="483"/>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60" x14ac:dyDescent="0.25">
      <c r="A3" s="83"/>
      <c r="B3" s="104"/>
      <c r="C3" s="36" t="s">
        <v>120</v>
      </c>
      <c r="D3" s="36" t="s">
        <v>121</v>
      </c>
      <c r="E3" s="36" t="s">
        <v>236</v>
      </c>
      <c r="F3" s="83"/>
      <c r="G3" s="83"/>
      <c r="H3" s="83"/>
      <c r="I3" s="83"/>
      <c r="J3" s="83"/>
      <c r="K3" s="83"/>
      <c r="L3" s="83"/>
      <c r="M3" s="83"/>
      <c r="N3" s="83"/>
      <c r="O3" s="83"/>
      <c r="P3" s="83"/>
      <c r="Q3" s="83"/>
      <c r="R3" s="83"/>
      <c r="S3" s="83"/>
      <c r="T3" s="83"/>
      <c r="U3" s="83"/>
    </row>
    <row r="4" spans="1:21" ht="33.75" x14ac:dyDescent="0.25">
      <c r="A4" s="103" t="s">
        <v>122</v>
      </c>
      <c r="B4" s="39" t="s">
        <v>123</v>
      </c>
      <c r="C4" s="44" t="s">
        <v>124</v>
      </c>
      <c r="D4" s="37" t="s">
        <v>125</v>
      </c>
      <c r="E4" s="37" t="s">
        <v>237</v>
      </c>
      <c r="F4" s="83"/>
      <c r="G4" s="83"/>
      <c r="H4" s="83"/>
      <c r="I4" s="83"/>
      <c r="J4" s="83"/>
      <c r="K4" s="83"/>
      <c r="L4" s="83"/>
      <c r="M4" s="83"/>
      <c r="N4" s="83"/>
      <c r="O4" s="83"/>
      <c r="P4" s="83"/>
      <c r="Q4" s="83"/>
      <c r="R4" s="83"/>
      <c r="S4" s="83"/>
      <c r="T4" s="83"/>
      <c r="U4" s="83"/>
    </row>
    <row r="5" spans="1:21" ht="67.5" x14ac:dyDescent="0.25">
      <c r="A5" s="103" t="s">
        <v>126</v>
      </c>
      <c r="B5" s="40" t="s">
        <v>127</v>
      </c>
      <c r="C5" s="45" t="s">
        <v>128</v>
      </c>
      <c r="D5" s="38" t="s">
        <v>241</v>
      </c>
      <c r="E5" s="38" t="s">
        <v>238</v>
      </c>
      <c r="F5" s="83"/>
      <c r="G5" s="83"/>
      <c r="H5" s="83"/>
      <c r="I5" s="83"/>
      <c r="J5" s="83"/>
      <c r="K5" s="83"/>
      <c r="L5" s="83"/>
      <c r="M5" s="83"/>
      <c r="N5" s="83"/>
      <c r="O5" s="83"/>
      <c r="P5" s="83"/>
      <c r="Q5" s="83"/>
      <c r="R5" s="83"/>
      <c r="S5" s="83"/>
      <c r="T5" s="83"/>
      <c r="U5" s="83"/>
    </row>
    <row r="6" spans="1:21" ht="67.5" x14ac:dyDescent="0.25">
      <c r="A6" s="103" t="s">
        <v>97</v>
      </c>
      <c r="B6" s="41" t="s">
        <v>130</v>
      </c>
      <c r="C6" s="45" t="s">
        <v>131</v>
      </c>
      <c r="D6" s="38" t="s">
        <v>132</v>
      </c>
      <c r="E6" s="38" t="s">
        <v>239</v>
      </c>
      <c r="F6" s="83"/>
      <c r="G6" s="83"/>
      <c r="H6" s="83"/>
      <c r="I6" s="83"/>
      <c r="J6" s="83"/>
      <c r="K6" s="83"/>
      <c r="L6" s="83"/>
      <c r="M6" s="83"/>
      <c r="N6" s="83"/>
      <c r="O6" s="83"/>
      <c r="P6" s="83"/>
      <c r="Q6" s="83"/>
      <c r="R6" s="83"/>
      <c r="S6" s="83"/>
      <c r="T6" s="83"/>
      <c r="U6" s="83"/>
    </row>
    <row r="7" spans="1:21" ht="101.25" x14ac:dyDescent="0.25">
      <c r="A7" s="103" t="s">
        <v>133</v>
      </c>
      <c r="B7" s="42" t="s">
        <v>134</v>
      </c>
      <c r="C7" s="45" t="s">
        <v>135</v>
      </c>
      <c r="D7" s="38" t="s">
        <v>136</v>
      </c>
      <c r="E7" s="38" t="s">
        <v>240</v>
      </c>
      <c r="F7" s="83"/>
      <c r="G7" s="83"/>
      <c r="H7" s="83"/>
      <c r="I7" s="83"/>
      <c r="J7" s="83"/>
      <c r="K7" s="83"/>
      <c r="L7" s="83"/>
      <c r="M7" s="83"/>
      <c r="N7" s="83"/>
      <c r="O7" s="83"/>
      <c r="P7" s="83"/>
      <c r="Q7" s="83"/>
      <c r="R7" s="83"/>
      <c r="S7" s="83"/>
      <c r="T7" s="83"/>
      <c r="U7" s="83"/>
    </row>
    <row r="8" spans="1:21" ht="67.5" x14ac:dyDescent="0.25">
      <c r="A8" s="103" t="s">
        <v>137</v>
      </c>
      <c r="B8" s="43" t="s">
        <v>138</v>
      </c>
      <c r="C8" s="45" t="s">
        <v>139</v>
      </c>
      <c r="D8" s="38" t="s">
        <v>140</v>
      </c>
      <c r="E8" s="38" t="s">
        <v>242</v>
      </c>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141</v>
      </c>
      <c r="C11" s="103" t="s">
        <v>142</v>
      </c>
      <c r="D11" s="103" t="s">
        <v>143</v>
      </c>
      <c r="E11" s="83"/>
      <c r="F11" s="83"/>
      <c r="G11" s="83"/>
      <c r="H11" s="83"/>
      <c r="I11" s="83"/>
      <c r="J11" s="83"/>
      <c r="K11" s="83"/>
      <c r="L11" s="83"/>
      <c r="M11" s="83"/>
      <c r="N11" s="83"/>
      <c r="O11" s="83"/>
      <c r="P11" s="83"/>
      <c r="Q11" s="83"/>
      <c r="R11" s="83"/>
      <c r="S11" s="83"/>
      <c r="T11" s="83"/>
      <c r="U11" s="83"/>
    </row>
    <row r="12" spans="1:21" x14ac:dyDescent="0.25">
      <c r="A12" s="103"/>
      <c r="B12" s="103" t="s">
        <v>144</v>
      </c>
      <c r="C12" s="103" t="s">
        <v>145</v>
      </c>
      <c r="D12" s="103" t="s">
        <v>146</v>
      </c>
      <c r="E12" s="83"/>
      <c r="F12" s="83"/>
      <c r="G12" s="83"/>
      <c r="H12" s="83"/>
      <c r="I12" s="83"/>
      <c r="J12" s="83"/>
      <c r="K12" s="83"/>
      <c r="L12" s="83"/>
      <c r="M12" s="83"/>
      <c r="N12" s="83"/>
      <c r="O12" s="83"/>
      <c r="P12" s="83"/>
      <c r="Q12" s="83"/>
      <c r="R12" s="83"/>
      <c r="S12" s="83"/>
      <c r="T12" s="83"/>
      <c r="U12" s="83"/>
    </row>
    <row r="13" spans="1:21" x14ac:dyDescent="0.25">
      <c r="A13" s="103"/>
      <c r="B13" s="103"/>
      <c r="C13" s="103" t="s">
        <v>147</v>
      </c>
      <c r="D13" s="103" t="s">
        <v>148</v>
      </c>
      <c r="E13" s="83"/>
      <c r="F13" s="83"/>
      <c r="G13" s="83"/>
      <c r="H13" s="83"/>
      <c r="I13" s="83"/>
      <c r="J13" s="83"/>
      <c r="K13" s="83"/>
      <c r="L13" s="83"/>
      <c r="M13" s="83"/>
      <c r="N13" s="83"/>
      <c r="O13" s="83"/>
      <c r="P13" s="83"/>
      <c r="Q13" s="83"/>
      <c r="R13" s="83"/>
      <c r="S13" s="83"/>
      <c r="T13" s="83"/>
      <c r="U13" s="83"/>
    </row>
    <row r="14" spans="1:21" x14ac:dyDescent="0.25">
      <c r="A14" s="103"/>
      <c r="B14" s="103"/>
      <c r="C14" s="103" t="s">
        <v>149</v>
      </c>
      <c r="D14" s="103" t="s">
        <v>150</v>
      </c>
      <c r="E14" s="83"/>
      <c r="F14" s="83"/>
      <c r="G14" s="83"/>
      <c r="H14" s="83"/>
      <c r="I14" s="83"/>
      <c r="J14" s="83"/>
      <c r="K14" s="83"/>
      <c r="L14" s="83"/>
      <c r="M14" s="83"/>
      <c r="N14" s="83"/>
      <c r="O14" s="83"/>
      <c r="P14" s="83"/>
      <c r="Q14" s="83"/>
      <c r="R14" s="83"/>
      <c r="S14" s="83"/>
      <c r="T14" s="83"/>
      <c r="U14" s="83"/>
    </row>
    <row r="15" spans="1:21" x14ac:dyDescent="0.25">
      <c r="A15" s="103"/>
      <c r="B15" s="103"/>
      <c r="C15" s="103" t="s">
        <v>151</v>
      </c>
      <c r="D15" s="103" t="s">
        <v>152</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153</v>
      </c>
      <c r="C209" s="30" t="s">
        <v>154</v>
      </c>
      <c r="D209" s="33" t="s">
        <v>153</v>
      </c>
      <c r="E209" s="33" t="s">
        <v>154</v>
      </c>
    </row>
    <row r="210" spans="1:8" ht="21" x14ac:dyDescent="0.35">
      <c r="A210" s="83"/>
      <c r="B210" s="31" t="s">
        <v>155</v>
      </c>
      <c r="C210" s="31" t="s">
        <v>156</v>
      </c>
      <c r="D210" t="s">
        <v>155</v>
      </c>
      <c r="F210" t="str">
        <f>IF(NOT(ISBLANK(D210)),D210,IF(NOT(ISBLANK(E210)),"     "&amp;E210,FALSE))</f>
        <v>Afectación Económica o presupuestal</v>
      </c>
      <c r="G210" t="s">
        <v>155</v>
      </c>
      <c r="H210" t="str">
        <f>IF(NOT(ISERROR(MATCH(G210,_xlfn.ANCHORARRAY(B221),0))),F228&amp;"Por favor no seleccionar los criterios de impacto",G210)</f>
        <v>❌Por favor no seleccionar los criterios de impacto</v>
      </c>
    </row>
    <row r="211" spans="1:8" ht="21" x14ac:dyDescent="0.35">
      <c r="A211" s="83"/>
      <c r="B211" s="31" t="s">
        <v>155</v>
      </c>
      <c r="C211" s="31" t="s">
        <v>128</v>
      </c>
      <c r="E211" t="s">
        <v>156</v>
      </c>
      <c r="F211" t="str">
        <f t="shared" ref="F211:F221" si="0">IF(NOT(ISBLANK(D211)),D211,IF(NOT(ISBLANK(E211)),"     "&amp;E211,FALSE))</f>
        <v xml:space="preserve">     Afectación menor a 10 SMLMV .</v>
      </c>
    </row>
    <row r="212" spans="1:8" ht="21" x14ac:dyDescent="0.35">
      <c r="A212" s="83"/>
      <c r="B212" s="31" t="s">
        <v>155</v>
      </c>
      <c r="C212" s="31" t="s">
        <v>131</v>
      </c>
      <c r="E212" t="s">
        <v>128</v>
      </c>
      <c r="F212" t="str">
        <f t="shared" si="0"/>
        <v xml:space="preserve">     Entre 10 y 50 SMLMV </v>
      </c>
    </row>
    <row r="213" spans="1:8" ht="21" x14ac:dyDescent="0.35">
      <c r="A213" s="83"/>
      <c r="B213" s="31" t="s">
        <v>155</v>
      </c>
      <c r="C213" s="31" t="s">
        <v>135</v>
      </c>
      <c r="E213" t="s">
        <v>131</v>
      </c>
      <c r="F213" t="str">
        <f t="shared" si="0"/>
        <v xml:space="preserve">     Entre 50 y 100 SMLMV </v>
      </c>
    </row>
    <row r="214" spans="1:8" ht="21" x14ac:dyDescent="0.35">
      <c r="A214" s="83"/>
      <c r="B214" s="31" t="s">
        <v>155</v>
      </c>
      <c r="C214" s="31" t="s">
        <v>139</v>
      </c>
      <c r="E214" t="s">
        <v>135</v>
      </c>
      <c r="F214" t="str">
        <f t="shared" si="0"/>
        <v xml:space="preserve">     Entre 100 y 500 SMLMV </v>
      </c>
    </row>
    <row r="215" spans="1:8" ht="21" x14ac:dyDescent="0.35">
      <c r="A215" s="83"/>
      <c r="B215" s="31" t="s">
        <v>121</v>
      </c>
      <c r="C215" s="31" t="s">
        <v>125</v>
      </c>
      <c r="E215" t="s">
        <v>139</v>
      </c>
      <c r="F215" t="str">
        <f t="shared" si="0"/>
        <v xml:space="preserve">     Mayor a 500 SMLMV </v>
      </c>
    </row>
    <row r="216" spans="1:8" ht="21" x14ac:dyDescent="0.35">
      <c r="A216" s="83"/>
      <c r="B216" s="31" t="s">
        <v>121</v>
      </c>
      <c r="C216" s="31" t="s">
        <v>129</v>
      </c>
      <c r="D216" t="s">
        <v>121</v>
      </c>
      <c r="F216" t="str">
        <f t="shared" si="0"/>
        <v>Pérdida Reputacional</v>
      </c>
    </row>
    <row r="217" spans="1:8" ht="21" x14ac:dyDescent="0.35">
      <c r="A217" s="83"/>
      <c r="B217" s="31" t="s">
        <v>121</v>
      </c>
      <c r="C217" s="31" t="s">
        <v>132</v>
      </c>
      <c r="E217" t="s">
        <v>125</v>
      </c>
      <c r="F217" t="str">
        <f t="shared" si="0"/>
        <v xml:space="preserve">     El riesgo afecta la imagen de alguna área de la organización</v>
      </c>
    </row>
    <row r="218" spans="1:8" ht="21" x14ac:dyDescent="0.35">
      <c r="A218" s="83"/>
      <c r="B218" s="31" t="s">
        <v>121</v>
      </c>
      <c r="C218" s="31" t="s">
        <v>136</v>
      </c>
      <c r="E218" t="s">
        <v>129</v>
      </c>
      <c r="F218" t="str">
        <f t="shared" si="0"/>
        <v xml:space="preserve">     El riesgo afecta la imagen de la entidad internamente, de conocimiento general, nivel interno, de junta dircetiva y accionistas y/o de provedores</v>
      </c>
    </row>
    <row r="219" spans="1:8" ht="21" x14ac:dyDescent="0.35">
      <c r="A219" s="83"/>
      <c r="B219" s="31" t="s">
        <v>121</v>
      </c>
      <c r="C219" s="31" t="s">
        <v>140</v>
      </c>
      <c r="E219" t="s">
        <v>132</v>
      </c>
      <c r="F219" t="str">
        <f t="shared" si="0"/>
        <v xml:space="preserve">     El riesgo afecta la imagen de la entidad con algunos usuarios de relevancia frente al logro de los objetivos</v>
      </c>
    </row>
    <row r="220" spans="1:8" x14ac:dyDescent="0.25">
      <c r="A220" s="83"/>
      <c r="B220" s="32"/>
      <c r="C220" s="32"/>
      <c r="E220" t="s">
        <v>136</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140</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c r="F222" t="s">
        <v>236</v>
      </c>
    </row>
    <row r="223" spans="1:8" x14ac:dyDescent="0.25">
      <c r="B223" s="32" t="str">
        <v>Pérdida Reputacional</v>
      </c>
      <c r="C223" s="32"/>
      <c r="F223" t="s">
        <v>237</v>
      </c>
    </row>
    <row r="224" spans="1:8" x14ac:dyDescent="0.25">
      <c r="B224" s="22"/>
      <c r="C224" s="22"/>
      <c r="F224" t="s">
        <v>238</v>
      </c>
    </row>
    <row r="225" spans="2:6" x14ac:dyDescent="0.25">
      <c r="B225" s="22"/>
      <c r="C225" s="22"/>
      <c r="F225" t="s">
        <v>239</v>
      </c>
    </row>
    <row r="226" spans="2:6" x14ac:dyDescent="0.25">
      <c r="B226" s="22"/>
      <c r="C226" s="22"/>
      <c r="F226" t="s">
        <v>240</v>
      </c>
    </row>
    <row r="227" spans="2:6" x14ac:dyDescent="0.25">
      <c r="B227" s="22"/>
      <c r="C227" s="22"/>
      <c r="D227" s="22"/>
      <c r="F227" t="s">
        <v>242</v>
      </c>
    </row>
    <row r="228" spans="2:6" x14ac:dyDescent="0.25">
      <c r="B228" s="22"/>
      <c r="C228" s="22"/>
      <c r="D228" s="22"/>
      <c r="F228" s="35" t="s">
        <v>157</v>
      </c>
    </row>
    <row r="229" spans="2:6" x14ac:dyDescent="0.25">
      <c r="B229" s="22"/>
      <c r="C229" s="22"/>
      <c r="D229" s="22"/>
      <c r="F229" s="35" t="s">
        <v>158</v>
      </c>
    </row>
    <row r="230" spans="2:6" x14ac:dyDescent="0.25">
      <c r="B230" s="22"/>
      <c r="C230" s="22"/>
      <c r="D230" s="22"/>
    </row>
    <row r="231" spans="2:6" x14ac:dyDescent="0.25">
      <c r="B231" s="22"/>
      <c r="C231" s="22"/>
      <c r="D231" s="22"/>
    </row>
    <row r="232" spans="2:6" x14ac:dyDescent="0.25">
      <c r="B232" s="22"/>
      <c r="C232" s="22"/>
      <c r="D232" s="22"/>
    </row>
  </sheetData>
  <mergeCells count="1">
    <mergeCell ref="B1:D1"/>
  </mergeCells>
  <dataValidations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F611-1DA3-4245-9FA1-19BCDBA48BFC}">
  <sheetPr>
    <tabColor theme="9" tint="-0.249977111117893"/>
  </sheetPr>
  <dimension ref="C2:J16"/>
  <sheetViews>
    <sheetView showGridLines="0" workbookViewId="0">
      <selection activeCell="G16" sqref="G16"/>
    </sheetView>
  </sheetViews>
  <sheetFormatPr baseColWidth="10" defaultRowHeight="15.75" x14ac:dyDescent="0.25"/>
  <cols>
    <col min="1" max="3" width="11.42578125" style="175"/>
    <col min="4" max="4" width="25.42578125" style="175" customWidth="1"/>
    <col min="5" max="5" width="22.5703125" style="175" customWidth="1"/>
    <col min="6" max="6" width="23.7109375" style="175" customWidth="1"/>
    <col min="7" max="7" width="45.85546875" style="175" customWidth="1"/>
    <col min="8" max="16384" width="11.42578125" style="175"/>
  </cols>
  <sheetData>
    <row r="2" spans="3:10" ht="16.5" thickBot="1" x14ac:dyDescent="0.3"/>
    <row r="3" spans="3:10" ht="32.25" thickBot="1" x14ac:dyDescent="0.3">
      <c r="C3" s="176" t="s">
        <v>243</v>
      </c>
      <c r="D3" s="177" t="s">
        <v>244</v>
      </c>
      <c r="E3" s="488" t="s">
        <v>245</v>
      </c>
      <c r="F3" s="489"/>
      <c r="G3" s="490"/>
      <c r="J3" s="188" t="s">
        <v>13</v>
      </c>
    </row>
    <row r="4" spans="3:10" x14ac:dyDescent="0.25">
      <c r="C4" s="484">
        <v>1</v>
      </c>
      <c r="D4" s="178" t="s">
        <v>9</v>
      </c>
      <c r="E4" s="179" t="s">
        <v>247</v>
      </c>
      <c r="F4" s="179" t="s">
        <v>249</v>
      </c>
      <c r="G4" s="190" t="s">
        <v>251</v>
      </c>
      <c r="H4" s="191"/>
      <c r="J4" s="189">
        <f>+H4*H6*H9*H11*H13*H15</f>
        <v>0</v>
      </c>
    </row>
    <row r="5" spans="3:10" ht="63.75" thickBot="1" x14ac:dyDescent="0.3">
      <c r="C5" s="485"/>
      <c r="D5" s="180" t="s">
        <v>246</v>
      </c>
      <c r="E5" s="181" t="s">
        <v>248</v>
      </c>
      <c r="F5" s="181" t="s">
        <v>250</v>
      </c>
      <c r="G5" s="183" t="s">
        <v>252</v>
      </c>
      <c r="H5" s="187"/>
    </row>
    <row r="6" spans="3:10" x14ac:dyDescent="0.25">
      <c r="C6" s="484">
        <v>2</v>
      </c>
      <c r="D6" s="178" t="s">
        <v>91</v>
      </c>
      <c r="E6" s="179" t="s">
        <v>255</v>
      </c>
      <c r="F6" s="179" t="s">
        <v>257</v>
      </c>
      <c r="G6" s="190" t="s">
        <v>259</v>
      </c>
      <c r="H6" s="191"/>
    </row>
    <row r="7" spans="3:10" ht="78.75" x14ac:dyDescent="0.25">
      <c r="C7" s="491"/>
      <c r="D7" s="178" t="s">
        <v>253</v>
      </c>
      <c r="E7" s="179" t="s">
        <v>256</v>
      </c>
      <c r="F7" s="179" t="s">
        <v>258</v>
      </c>
      <c r="G7" s="179" t="s">
        <v>260</v>
      </c>
    </row>
    <row r="8" spans="3:10" ht="16.5" thickBot="1" x14ac:dyDescent="0.3">
      <c r="C8" s="485"/>
      <c r="D8" s="180" t="s">
        <v>254</v>
      </c>
      <c r="E8" s="182"/>
      <c r="F8" s="182"/>
      <c r="G8" s="182"/>
    </row>
    <row r="9" spans="3:10" x14ac:dyDescent="0.25">
      <c r="C9" s="484">
        <v>3</v>
      </c>
      <c r="D9" s="178" t="s">
        <v>261</v>
      </c>
      <c r="E9" s="179" t="s">
        <v>263</v>
      </c>
      <c r="F9" s="179" t="s">
        <v>265</v>
      </c>
      <c r="G9" s="190" t="s">
        <v>267</v>
      </c>
      <c r="H9" s="191"/>
    </row>
    <row r="10" spans="3:10" ht="63.75" thickBot="1" x14ac:dyDescent="0.3">
      <c r="C10" s="485"/>
      <c r="D10" s="180" t="s">
        <v>262</v>
      </c>
      <c r="E10" s="181" t="s">
        <v>264</v>
      </c>
      <c r="F10" s="181" t="s">
        <v>266</v>
      </c>
      <c r="G10" s="181" t="s">
        <v>268</v>
      </c>
    </row>
    <row r="11" spans="3:10" x14ac:dyDescent="0.25">
      <c r="C11" s="484">
        <v>4</v>
      </c>
      <c r="D11" s="184" t="s">
        <v>269</v>
      </c>
      <c r="E11" s="185" t="s">
        <v>271</v>
      </c>
      <c r="F11" s="185" t="s">
        <v>272</v>
      </c>
      <c r="G11" s="192" t="s">
        <v>273</v>
      </c>
      <c r="H11" s="191"/>
    </row>
    <row r="12" spans="3:10" ht="111" thickBot="1" x14ac:dyDescent="0.3">
      <c r="C12" s="485"/>
      <c r="D12" s="180" t="s">
        <v>270</v>
      </c>
      <c r="E12" s="181" t="s">
        <v>287</v>
      </c>
      <c r="F12" s="181" t="s">
        <v>286</v>
      </c>
      <c r="G12" s="181" t="s">
        <v>274</v>
      </c>
    </row>
    <row r="13" spans="3:10" x14ac:dyDescent="0.25">
      <c r="C13" s="491">
        <v>5</v>
      </c>
      <c r="D13" s="178" t="s">
        <v>275</v>
      </c>
      <c r="E13" s="179" t="s">
        <v>255</v>
      </c>
      <c r="F13" s="179" t="s">
        <v>278</v>
      </c>
      <c r="G13" s="190" t="s">
        <v>259</v>
      </c>
      <c r="H13" s="191"/>
    </row>
    <row r="14" spans="3:10" ht="79.5" thickBot="1" x14ac:dyDescent="0.3">
      <c r="C14" s="485"/>
      <c r="D14" s="180" t="s">
        <v>276</v>
      </c>
      <c r="E14" s="181" t="s">
        <v>277</v>
      </c>
      <c r="F14" s="181" t="s">
        <v>279</v>
      </c>
      <c r="G14" s="181" t="s">
        <v>280</v>
      </c>
    </row>
    <row r="15" spans="3:10" x14ac:dyDescent="0.25">
      <c r="C15" s="484">
        <v>6</v>
      </c>
      <c r="D15" s="178" t="s">
        <v>281</v>
      </c>
      <c r="E15" s="179" t="s">
        <v>255</v>
      </c>
      <c r="F15" s="486" t="s">
        <v>284</v>
      </c>
      <c r="G15" s="190" t="s">
        <v>259</v>
      </c>
      <c r="H15" s="191"/>
    </row>
    <row r="16" spans="3:10" ht="79.5" thickBot="1" x14ac:dyDescent="0.3">
      <c r="C16" s="485"/>
      <c r="D16" s="180" t="s">
        <v>282</v>
      </c>
      <c r="E16" s="181" t="s">
        <v>283</v>
      </c>
      <c r="F16" s="487"/>
      <c r="G16" s="181" t="s">
        <v>285</v>
      </c>
    </row>
  </sheetData>
  <mergeCells count="8">
    <mergeCell ref="C15:C16"/>
    <mergeCell ref="F15:F16"/>
    <mergeCell ref="E3:G3"/>
    <mergeCell ref="C4:C5"/>
    <mergeCell ref="C6:C8"/>
    <mergeCell ref="C9:C10"/>
    <mergeCell ref="C11:C12"/>
    <mergeCell ref="C13:C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Instructivo</vt:lpstr>
      <vt:lpstr>Contexto proceso</vt:lpstr>
      <vt:lpstr>Mapa final</vt:lpstr>
      <vt:lpstr>Impacto-clasificacion</vt:lpstr>
      <vt:lpstr>Matriz Calor Inherente</vt:lpstr>
      <vt:lpstr>Matriz Calor Residual</vt:lpstr>
      <vt:lpstr>Tabla probabilidad</vt:lpstr>
      <vt:lpstr>Tabla Impacto</vt:lpstr>
      <vt:lpstr>Criterios riesgos amb.</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SDG</cp:lastModifiedBy>
  <cp:revision/>
  <dcterms:created xsi:type="dcterms:W3CDTF">2020-03-24T23:12:47Z</dcterms:created>
  <dcterms:modified xsi:type="dcterms:W3CDTF">2022-04-27T20:01:13Z</dcterms:modified>
  <cp:category/>
  <cp:contentStatus/>
</cp:coreProperties>
</file>