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60" windowWidth="19440" windowHeight="11550" tabRatio="847"/>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PROCESO'!$A$15:$BC$71</definedName>
    <definedName name="_xlnm.Print_Area" localSheetId="0">'PLAN GESTION POR PROCESO'!$A$1:$BC$77</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45621" concurrentCalc="0"/>
</workbook>
</file>

<file path=xl/calcChain.xml><?xml version="1.0" encoding="utf-8"?>
<calcChain xmlns="http://schemas.openxmlformats.org/spreadsheetml/2006/main">
  <c r="BB66" i="1" l="1"/>
  <c r="BB64" i="1"/>
  <c r="AZ71" i="1"/>
  <c r="BB65" i="1"/>
  <c r="BB67" i="1"/>
  <c r="BB68" i="1"/>
  <c r="BB69" i="1"/>
  <c r="BB70" i="1"/>
  <c r="AU65" i="1"/>
  <c r="AU66" i="1"/>
  <c r="AU67" i="1"/>
  <c r="AU68" i="1"/>
  <c r="AU69" i="1"/>
  <c r="AU70" i="1"/>
  <c r="AU64" i="1"/>
  <c r="E55" i="1"/>
  <c r="BB63" i="1"/>
  <c r="BB61" i="1"/>
  <c r="BB57" i="1"/>
  <c r="BB55" i="1"/>
  <c r="BB45" i="1"/>
  <c r="BB33" i="1"/>
  <c r="BB27" i="1"/>
  <c r="BB23" i="1"/>
  <c r="BB22" i="1"/>
  <c r="BB24" i="1"/>
  <c r="BB25" i="1"/>
  <c r="BB26" i="1"/>
  <c r="BB28" i="1"/>
  <c r="BB29" i="1"/>
  <c r="BB30" i="1"/>
  <c r="BB31" i="1"/>
  <c r="BB32" i="1"/>
  <c r="BB34" i="1"/>
  <c r="BB35" i="1"/>
  <c r="BB36" i="1"/>
  <c r="BB37" i="1"/>
  <c r="BB38" i="1"/>
  <c r="BB39" i="1"/>
  <c r="BB40" i="1"/>
  <c r="BB41" i="1"/>
  <c r="BB42" i="1"/>
  <c r="BB43" i="1"/>
  <c r="BB44" i="1"/>
  <c r="BB46" i="1"/>
  <c r="BB47" i="1"/>
  <c r="BB48" i="1"/>
  <c r="BB49" i="1"/>
  <c r="BB50" i="1"/>
  <c r="BB51" i="1"/>
  <c r="BB52" i="1"/>
  <c r="BB53" i="1"/>
  <c r="BB54" i="1"/>
  <c r="BB56" i="1"/>
  <c r="BB58" i="1"/>
  <c r="BB59" i="1"/>
  <c r="BB60" i="1"/>
  <c r="BB62" i="1"/>
  <c r="BB21" i="1"/>
  <c r="BB18" i="1"/>
  <c r="BB17" i="1"/>
  <c r="AZ18" i="1"/>
  <c r="BA18" i="1"/>
  <c r="BB19" i="1"/>
  <c r="BB20" i="1"/>
  <c r="AZ24" i="1"/>
  <c r="BA24" i="1"/>
  <c r="AZ25" i="1"/>
  <c r="BA25" i="1"/>
  <c r="AZ26" i="1"/>
  <c r="BA26" i="1"/>
  <c r="AZ28" i="1"/>
  <c r="BA28" i="1"/>
  <c r="AZ29" i="1"/>
  <c r="BA29" i="1"/>
  <c r="AZ30" i="1"/>
  <c r="BA30" i="1"/>
  <c r="AZ31" i="1"/>
  <c r="BA31" i="1"/>
  <c r="AZ32" i="1"/>
  <c r="BA32" i="1"/>
  <c r="BA40" i="1"/>
  <c r="AZ41" i="1"/>
  <c r="BA41" i="1"/>
  <c r="AZ42" i="1"/>
  <c r="BA42" i="1"/>
  <c r="AZ44" i="1"/>
  <c r="BA44" i="1"/>
  <c r="BA47" i="1"/>
  <c r="AZ50" i="1"/>
  <c r="BA50" i="1"/>
  <c r="AZ51" i="1"/>
  <c r="BA51" i="1"/>
  <c r="BA53" i="1"/>
  <c r="BA54" i="1"/>
  <c r="AH46" i="1"/>
  <c r="AI46" i="1"/>
  <c r="AT46" i="1"/>
  <c r="AB46" i="1"/>
  <c r="AT43" i="1"/>
  <c r="AT40" i="1"/>
  <c r="AZ34" i="1"/>
  <c r="AZ21" i="1"/>
  <c r="BA21" i="1"/>
  <c r="AT17" i="1"/>
  <c r="AS56" i="1"/>
  <c r="AN56" i="1"/>
  <c r="AA56" i="1"/>
  <c r="AC56" i="1"/>
  <c r="Z56" i="1"/>
  <c r="AZ22" i="1"/>
  <c r="BA22" i="1"/>
  <c r="AT39" i="1"/>
  <c r="AZ39" i="1"/>
  <c r="AN39" i="1"/>
  <c r="AT62" i="1"/>
  <c r="AZ62" i="1"/>
  <c r="BA62" i="1"/>
  <c r="AT47" i="1"/>
  <c r="AU47" i="1"/>
  <c r="AZ47" i="1"/>
  <c r="AT48" i="1"/>
  <c r="AT60" i="1"/>
  <c r="AU58" i="1"/>
  <c r="AT49" i="1"/>
  <c r="AT52" i="1"/>
  <c r="AZ52" i="1"/>
  <c r="A1" i="1"/>
  <c r="P17" i="1"/>
  <c r="Z17" i="1"/>
  <c r="AA17" i="1"/>
  <c r="AF17" i="1"/>
  <c r="AG17" i="1"/>
  <c r="AI17" i="1"/>
  <c r="AL17" i="1"/>
  <c r="AM17" i="1"/>
  <c r="AN17" i="1"/>
  <c r="AR17" i="1"/>
  <c r="AS17" i="1"/>
  <c r="AU17" i="1"/>
  <c r="AX17" i="1"/>
  <c r="AY17" i="1"/>
  <c r="AZ17" i="1"/>
  <c r="Z18" i="1"/>
  <c r="AA18" i="1"/>
  <c r="AF18" i="1"/>
  <c r="AG18" i="1"/>
  <c r="AI18" i="1"/>
  <c r="AL18" i="1"/>
  <c r="AR18" i="1"/>
  <c r="AS18" i="1"/>
  <c r="AX18" i="1"/>
  <c r="AY18" i="1"/>
  <c r="Z19" i="1"/>
  <c r="AA19" i="1"/>
  <c r="AF19" i="1"/>
  <c r="AG19" i="1"/>
  <c r="AL19" i="1"/>
  <c r="AM19" i="1"/>
  <c r="AR19" i="1"/>
  <c r="AS19" i="1"/>
  <c r="AX19" i="1"/>
  <c r="AY19" i="1"/>
  <c r="Z21" i="1"/>
  <c r="AA21" i="1"/>
  <c r="AF21" i="1"/>
  <c r="AG21" i="1"/>
  <c r="AL21" i="1"/>
  <c r="AM21" i="1"/>
  <c r="AR21" i="1"/>
  <c r="AS21" i="1"/>
  <c r="AU21" i="1"/>
  <c r="AX21" i="1"/>
  <c r="AY21" i="1"/>
  <c r="Z22" i="1"/>
  <c r="AA22" i="1"/>
  <c r="AC22" i="1"/>
  <c r="AF22" i="1"/>
  <c r="AG22" i="1"/>
  <c r="AI22" i="1"/>
  <c r="AL22" i="1"/>
  <c r="AM22" i="1"/>
  <c r="AO22" i="1"/>
  <c r="AR22" i="1"/>
  <c r="AS22" i="1"/>
  <c r="AU22" i="1"/>
  <c r="AX22" i="1"/>
  <c r="AY22" i="1"/>
  <c r="Z24" i="1"/>
  <c r="AA24" i="1"/>
  <c r="AF24" i="1"/>
  <c r="AG24" i="1"/>
  <c r="AL24" i="1"/>
  <c r="AM24" i="1"/>
  <c r="AO24" i="1"/>
  <c r="AR24" i="1"/>
  <c r="AS24" i="1"/>
  <c r="AX24" i="1"/>
  <c r="AY24" i="1"/>
  <c r="Z25" i="1"/>
  <c r="AA25" i="1"/>
  <c r="AB25" i="1"/>
  <c r="AC25" i="1"/>
  <c r="AF25" i="1"/>
  <c r="AG25" i="1"/>
  <c r="AL25" i="1"/>
  <c r="AM25" i="1"/>
  <c r="AO25" i="1"/>
  <c r="AR25" i="1"/>
  <c r="AS25" i="1"/>
  <c r="AU25" i="1"/>
  <c r="AX25" i="1"/>
  <c r="AY25" i="1"/>
  <c r="Z26" i="1"/>
  <c r="AA26" i="1"/>
  <c r="AF26" i="1"/>
  <c r="AG26" i="1"/>
  <c r="AL26" i="1"/>
  <c r="AM26" i="1"/>
  <c r="AO26" i="1"/>
  <c r="AR26" i="1"/>
  <c r="AS26" i="1"/>
  <c r="AX26" i="1"/>
  <c r="AY26" i="1"/>
  <c r="P28" i="1"/>
  <c r="AY28" i="1"/>
  <c r="Z28" i="1"/>
  <c r="AA28" i="1"/>
  <c r="AF28" i="1"/>
  <c r="AG28" i="1"/>
  <c r="AL28" i="1"/>
  <c r="AM28" i="1"/>
  <c r="AR28" i="1"/>
  <c r="AS28" i="1"/>
  <c r="AX28" i="1"/>
  <c r="P29" i="1"/>
  <c r="Z29" i="1"/>
  <c r="AA29" i="1"/>
  <c r="AF29" i="1"/>
  <c r="AG29" i="1"/>
  <c r="AI29" i="1"/>
  <c r="AL29" i="1"/>
  <c r="AM29" i="1"/>
  <c r="AR29" i="1"/>
  <c r="AS29" i="1"/>
  <c r="AX29" i="1"/>
  <c r="AY29" i="1"/>
  <c r="P30" i="1"/>
  <c r="Z30" i="1"/>
  <c r="AA30" i="1"/>
  <c r="AF30" i="1"/>
  <c r="AG30" i="1"/>
  <c r="AL30" i="1"/>
  <c r="AM30" i="1"/>
  <c r="AR30" i="1"/>
  <c r="AS30" i="1"/>
  <c r="AU30" i="1"/>
  <c r="AX30" i="1"/>
  <c r="AY30" i="1"/>
  <c r="P31" i="1"/>
  <c r="AY31" i="1"/>
  <c r="Z31" i="1"/>
  <c r="AA31" i="1"/>
  <c r="AF31" i="1"/>
  <c r="AG31" i="1"/>
  <c r="AL31" i="1"/>
  <c r="AM31" i="1"/>
  <c r="AR31" i="1"/>
  <c r="AS31" i="1"/>
  <c r="AX31" i="1"/>
  <c r="P32" i="1"/>
  <c r="Z32" i="1"/>
  <c r="AA32" i="1"/>
  <c r="AF32" i="1"/>
  <c r="AG32" i="1"/>
  <c r="AL32" i="1"/>
  <c r="AM32" i="1"/>
  <c r="AO32" i="1"/>
  <c r="AR32" i="1"/>
  <c r="AS32" i="1"/>
  <c r="AU32" i="1"/>
  <c r="AX32" i="1"/>
  <c r="AY32" i="1"/>
  <c r="P34" i="1"/>
  <c r="AY34" i="1"/>
  <c r="Z34" i="1"/>
  <c r="AA34" i="1"/>
  <c r="AC34" i="1"/>
  <c r="AF34" i="1"/>
  <c r="AG34" i="1"/>
  <c r="AI34" i="1"/>
  <c r="AL34" i="1"/>
  <c r="AM34" i="1"/>
  <c r="AR34" i="1"/>
  <c r="AS34" i="1"/>
  <c r="AX34" i="1"/>
  <c r="P35" i="1"/>
  <c r="Z35" i="1"/>
  <c r="AA35" i="1"/>
  <c r="AC35" i="1"/>
  <c r="AF35" i="1"/>
  <c r="AG35" i="1"/>
  <c r="AL35" i="1"/>
  <c r="AM35" i="1"/>
  <c r="AR35" i="1"/>
  <c r="AS35" i="1"/>
  <c r="AX35" i="1"/>
  <c r="AY35" i="1"/>
  <c r="AZ35" i="1"/>
  <c r="P36" i="1"/>
  <c r="AY36" i="1"/>
  <c r="Z36" i="1"/>
  <c r="AA36" i="1"/>
  <c r="AF36" i="1"/>
  <c r="AG36" i="1"/>
  <c r="AL36" i="1"/>
  <c r="AM36" i="1"/>
  <c r="AR36" i="1"/>
  <c r="AS36" i="1"/>
  <c r="AU37" i="1"/>
  <c r="AX36" i="1"/>
  <c r="AZ36" i="1"/>
  <c r="P37" i="1"/>
  <c r="Z37" i="1"/>
  <c r="AA37" i="1"/>
  <c r="AF37" i="1"/>
  <c r="AG37" i="1"/>
  <c r="AL37" i="1"/>
  <c r="AM37" i="1"/>
  <c r="AR37" i="1"/>
  <c r="AS37" i="1"/>
  <c r="AX37" i="1"/>
  <c r="AY37" i="1"/>
  <c r="AZ37" i="1"/>
  <c r="P38" i="1"/>
  <c r="Z38" i="1"/>
  <c r="AA38" i="1"/>
  <c r="AF38" i="1"/>
  <c r="AG38" i="1"/>
  <c r="AL38" i="1"/>
  <c r="AM38" i="1"/>
  <c r="AR38" i="1"/>
  <c r="AS38" i="1"/>
  <c r="AX38" i="1"/>
  <c r="AY38" i="1"/>
  <c r="AZ38" i="1"/>
  <c r="P39" i="1"/>
  <c r="AY39" i="1"/>
  <c r="Z39" i="1"/>
  <c r="AA39" i="1"/>
  <c r="AB39" i="1"/>
  <c r="AC39" i="1"/>
  <c r="AF39" i="1"/>
  <c r="AG39" i="1"/>
  <c r="AH39" i="1"/>
  <c r="AL39" i="1"/>
  <c r="AM39" i="1"/>
  <c r="AR39" i="1"/>
  <c r="AS39" i="1"/>
  <c r="AX39" i="1"/>
  <c r="P40" i="1"/>
  <c r="Z40" i="1"/>
  <c r="AA40" i="1"/>
  <c r="AF40" i="1"/>
  <c r="AG40" i="1"/>
  <c r="AH40" i="1"/>
  <c r="AL40" i="1"/>
  <c r="AM40" i="1"/>
  <c r="AN40" i="1"/>
  <c r="AZ40" i="1"/>
  <c r="AO40" i="1"/>
  <c r="AR40" i="1"/>
  <c r="AS40" i="1"/>
  <c r="AU40" i="1"/>
  <c r="AX40" i="1"/>
  <c r="AY40" i="1"/>
  <c r="Z41" i="1"/>
  <c r="AA41" i="1"/>
  <c r="AB41" i="1"/>
  <c r="AC41" i="1"/>
  <c r="AF41" i="1"/>
  <c r="AG41" i="1"/>
  <c r="AH41" i="1"/>
  <c r="AI41" i="1"/>
  <c r="AL41" i="1"/>
  <c r="AM41" i="1"/>
  <c r="AN41" i="1"/>
  <c r="AO41" i="1"/>
  <c r="AR41" i="1"/>
  <c r="AS41" i="1"/>
  <c r="AT41" i="1"/>
  <c r="AU41" i="1"/>
  <c r="AX41" i="1"/>
  <c r="AY41" i="1"/>
  <c r="Z42" i="1"/>
  <c r="AA42" i="1"/>
  <c r="AB42" i="1"/>
  <c r="AC42" i="1"/>
  <c r="AF42" i="1"/>
  <c r="AG42" i="1"/>
  <c r="AH42" i="1"/>
  <c r="AI42" i="1"/>
  <c r="AL42" i="1"/>
  <c r="AM42" i="1"/>
  <c r="AN42" i="1"/>
  <c r="AO42" i="1"/>
  <c r="AR42" i="1"/>
  <c r="AS42" i="1"/>
  <c r="AT42" i="1"/>
  <c r="AU42" i="1"/>
  <c r="AX42" i="1"/>
  <c r="AY42" i="1"/>
  <c r="P43" i="1"/>
  <c r="Z43" i="1"/>
  <c r="AA43" i="1"/>
  <c r="AB43" i="1"/>
  <c r="AC43" i="1"/>
  <c r="AF43" i="1"/>
  <c r="AG43" i="1"/>
  <c r="AH43" i="1"/>
  <c r="AL43" i="1"/>
  <c r="AM43" i="1"/>
  <c r="AN43" i="1"/>
  <c r="AR43" i="1"/>
  <c r="AS43" i="1"/>
  <c r="AX43" i="1"/>
  <c r="AY43" i="1"/>
  <c r="P44" i="1"/>
  <c r="Z44" i="1"/>
  <c r="AA44" i="1"/>
  <c r="AF44" i="1"/>
  <c r="AG44" i="1"/>
  <c r="AL44" i="1"/>
  <c r="AM44" i="1"/>
  <c r="AN44" i="1"/>
  <c r="AO44" i="1"/>
  <c r="AR44" i="1"/>
  <c r="AS44" i="1"/>
  <c r="AT44" i="1"/>
  <c r="AU44" i="1"/>
  <c r="AX44" i="1"/>
  <c r="AY44" i="1"/>
  <c r="P46" i="1"/>
  <c r="Z46" i="1"/>
  <c r="AA46" i="1"/>
  <c r="AF46" i="1"/>
  <c r="AG46" i="1"/>
  <c r="AL46" i="1"/>
  <c r="AM46" i="1"/>
  <c r="AN46" i="1"/>
  <c r="AZ46" i="1"/>
  <c r="AR46" i="1"/>
  <c r="AS46" i="1"/>
  <c r="AX46" i="1"/>
  <c r="AY46" i="1"/>
  <c r="P47" i="1"/>
  <c r="Z47" i="1"/>
  <c r="AA47" i="1"/>
  <c r="AF47" i="1"/>
  <c r="AG47" i="1"/>
  <c r="AL47" i="1"/>
  <c r="AM47" i="1"/>
  <c r="AR47" i="1"/>
  <c r="AS47" i="1"/>
  <c r="AX47" i="1"/>
  <c r="AY47" i="1"/>
  <c r="P48" i="1"/>
  <c r="AY48" i="1"/>
  <c r="Z48" i="1"/>
  <c r="AA48" i="1"/>
  <c r="AB48" i="1"/>
  <c r="AZ48" i="1"/>
  <c r="AF48" i="1"/>
  <c r="AG48" i="1"/>
  <c r="AH48" i="1"/>
  <c r="AL48" i="1"/>
  <c r="AM48" i="1"/>
  <c r="AN48" i="1"/>
  <c r="AR48" i="1"/>
  <c r="AS48" i="1"/>
  <c r="AX48" i="1"/>
  <c r="Z49" i="1"/>
  <c r="AA49" i="1"/>
  <c r="AC49" i="1"/>
  <c r="AB49" i="1"/>
  <c r="AF49" i="1"/>
  <c r="AG49" i="1"/>
  <c r="AI49" i="1"/>
  <c r="AH49" i="1"/>
  <c r="AL49" i="1"/>
  <c r="AM49" i="1"/>
  <c r="AO49" i="1"/>
  <c r="AN49" i="1"/>
  <c r="AR49" i="1"/>
  <c r="AS49" i="1"/>
  <c r="AU49" i="1"/>
  <c r="AX49" i="1"/>
  <c r="AY49" i="1"/>
  <c r="Z50" i="1"/>
  <c r="AA50" i="1"/>
  <c r="AB50" i="1"/>
  <c r="AC50" i="1"/>
  <c r="AF50" i="1"/>
  <c r="AG50" i="1"/>
  <c r="AH50" i="1"/>
  <c r="AI50" i="1"/>
  <c r="AL50" i="1"/>
  <c r="AM50" i="1"/>
  <c r="AN50" i="1"/>
  <c r="AO50" i="1"/>
  <c r="AR50" i="1"/>
  <c r="AS50" i="1"/>
  <c r="AT50" i="1"/>
  <c r="AU50" i="1"/>
  <c r="AX50" i="1"/>
  <c r="AY50" i="1"/>
  <c r="Z51" i="1"/>
  <c r="AA51" i="1"/>
  <c r="AB51" i="1"/>
  <c r="AF51" i="1"/>
  <c r="AG51" i="1"/>
  <c r="AH51" i="1"/>
  <c r="AI51" i="1"/>
  <c r="AL51" i="1"/>
  <c r="AM51" i="1"/>
  <c r="AN51" i="1"/>
  <c r="AO51" i="1"/>
  <c r="AR51" i="1"/>
  <c r="AS51" i="1"/>
  <c r="AU51" i="1"/>
  <c r="AX51" i="1"/>
  <c r="AY51" i="1"/>
  <c r="P52" i="1"/>
  <c r="Z52" i="1"/>
  <c r="AA52" i="1"/>
  <c r="AF52" i="1"/>
  <c r="AG52" i="1"/>
  <c r="AL52" i="1"/>
  <c r="AM52" i="1"/>
  <c r="AO52" i="1"/>
  <c r="AR52" i="1"/>
  <c r="AS52" i="1"/>
  <c r="AX52" i="1"/>
  <c r="AY52" i="1"/>
  <c r="Z53" i="1"/>
  <c r="AA53" i="1"/>
  <c r="AF53" i="1"/>
  <c r="AL53" i="1"/>
  <c r="AM53" i="1"/>
  <c r="AR53" i="1"/>
  <c r="AS53" i="1"/>
  <c r="AU53" i="1"/>
  <c r="AX53" i="1"/>
  <c r="AY53" i="1"/>
  <c r="AZ53" i="1"/>
  <c r="Z54" i="1"/>
  <c r="AA54" i="1"/>
  <c r="AF54" i="1"/>
  <c r="AG54" i="1"/>
  <c r="AI54" i="1"/>
  <c r="AH54" i="1"/>
  <c r="AL54" i="1"/>
  <c r="AM54" i="1"/>
  <c r="AO54" i="1"/>
  <c r="AN54" i="1"/>
  <c r="AR54" i="1"/>
  <c r="AS54" i="1"/>
  <c r="AU54" i="1"/>
  <c r="AX54" i="1"/>
  <c r="AY54" i="1"/>
  <c r="AZ54" i="1"/>
  <c r="Z55" i="1"/>
  <c r="AA55" i="1"/>
  <c r="AB55" i="1"/>
  <c r="AF56" i="1"/>
  <c r="AG56" i="1"/>
  <c r="AL56" i="1"/>
  <c r="AM56" i="1"/>
  <c r="AR56" i="1"/>
  <c r="AX56" i="1"/>
  <c r="AY56" i="1"/>
  <c r="AZ56" i="1"/>
  <c r="BA56" i="1"/>
  <c r="Z57" i="1"/>
  <c r="AA57" i="1"/>
  <c r="AF58" i="1"/>
  <c r="AG58" i="1"/>
  <c r="AL58" i="1"/>
  <c r="AM58" i="1"/>
  <c r="AR58" i="1"/>
  <c r="AS58" i="1"/>
  <c r="AX58" i="1"/>
  <c r="AY58" i="1"/>
  <c r="BA58" i="1"/>
  <c r="Z59" i="1"/>
  <c r="AA59" i="1"/>
  <c r="AF59" i="1"/>
  <c r="AG59" i="1"/>
  <c r="AL59" i="1"/>
  <c r="AM59" i="1"/>
  <c r="AR59" i="1"/>
  <c r="AS59" i="1"/>
  <c r="AX59" i="1"/>
  <c r="AY59" i="1"/>
  <c r="AZ59" i="1"/>
  <c r="BA59" i="1"/>
  <c r="Z60" i="1"/>
  <c r="AA60" i="1"/>
  <c r="AF60" i="1"/>
  <c r="AG60" i="1"/>
  <c r="AL60" i="1"/>
  <c r="AM60" i="1"/>
  <c r="AR60" i="1"/>
  <c r="AS60" i="1"/>
  <c r="AU60" i="1"/>
  <c r="AX60" i="1"/>
  <c r="AY60" i="1"/>
  <c r="AZ60" i="1"/>
  <c r="BA60" i="1"/>
  <c r="Z61" i="1"/>
  <c r="AA61" i="1"/>
  <c r="AF62" i="1"/>
  <c r="AG62" i="1"/>
  <c r="AL62" i="1"/>
  <c r="AM62" i="1"/>
  <c r="AR62" i="1"/>
  <c r="AS62" i="1"/>
  <c r="AU62" i="1"/>
  <c r="AX62" i="1"/>
  <c r="AY62" i="1"/>
  <c r="Z63" i="1"/>
  <c r="AA63" i="1"/>
  <c r="Z64" i="1"/>
  <c r="AA64" i="1"/>
  <c r="AF64" i="1"/>
  <c r="AG64" i="1"/>
  <c r="AH64" i="1"/>
  <c r="AL64" i="1"/>
  <c r="AM64" i="1"/>
  <c r="AR64" i="1"/>
  <c r="AS64" i="1"/>
  <c r="AX64" i="1"/>
  <c r="Z65" i="1"/>
  <c r="AA65" i="1"/>
  <c r="AF65" i="1"/>
  <c r="AG65" i="1"/>
  <c r="AH65" i="1"/>
  <c r="AL65" i="1"/>
  <c r="AM65" i="1"/>
  <c r="AR65" i="1"/>
  <c r="AS65" i="1"/>
  <c r="AX65" i="1"/>
  <c r="Z66" i="1"/>
  <c r="AC66" i="1"/>
  <c r="AF66" i="1"/>
  <c r="AG66" i="1"/>
  <c r="AI66" i="1"/>
  <c r="AL66" i="1"/>
  <c r="AM66" i="1"/>
  <c r="AO66" i="1"/>
  <c r="AR66" i="1"/>
  <c r="AS66" i="1"/>
  <c r="AX66" i="1"/>
  <c r="Z67" i="1"/>
  <c r="AA67" i="1"/>
  <c r="AC67" i="1"/>
  <c r="AF67" i="1"/>
  <c r="AG67" i="1"/>
  <c r="AI67" i="1"/>
  <c r="AL67" i="1"/>
  <c r="AM67" i="1"/>
  <c r="AO67" i="1"/>
  <c r="AR67" i="1"/>
  <c r="AS67" i="1"/>
  <c r="AX67" i="1"/>
  <c r="Z68" i="1"/>
  <c r="AA68" i="1"/>
  <c r="AC68" i="1"/>
  <c r="AF68" i="1"/>
  <c r="AG68" i="1"/>
  <c r="AI68" i="1"/>
  <c r="AL68" i="1"/>
  <c r="AM68" i="1"/>
  <c r="AO68" i="1"/>
  <c r="AR68" i="1"/>
  <c r="AS68" i="1"/>
  <c r="AX68" i="1"/>
  <c r="Z69" i="1"/>
  <c r="AA69" i="1"/>
  <c r="AB69" i="1"/>
  <c r="AC69" i="1"/>
  <c r="AF69" i="1"/>
  <c r="AG69" i="1"/>
  <c r="AI69" i="1"/>
  <c r="AL69" i="1"/>
  <c r="AM69" i="1"/>
  <c r="AO69" i="1"/>
  <c r="AR69" i="1"/>
  <c r="AS69" i="1"/>
  <c r="AX69" i="1"/>
  <c r="Z70" i="1"/>
  <c r="AA70" i="1"/>
  <c r="AC70" i="1"/>
  <c r="AF70" i="1"/>
  <c r="AG70" i="1"/>
  <c r="AI70" i="1"/>
  <c r="AL70" i="1"/>
  <c r="AM70" i="1"/>
  <c r="AO70" i="1"/>
  <c r="AR70" i="1"/>
  <c r="AS70" i="1"/>
  <c r="AX70" i="1"/>
  <c r="E71" i="1"/>
  <c r="AI40" i="1"/>
  <c r="AU36" i="1"/>
  <c r="AZ43" i="1"/>
  <c r="AU71" i="1"/>
  <c r="AI71" i="1"/>
  <c r="AO71" i="1"/>
  <c r="AC51" i="1"/>
  <c r="AC71" i="1"/>
</calcChain>
</file>

<file path=xl/comments1.xml><?xml version="1.0" encoding="utf-8"?>
<comments xmlns="http://schemas.openxmlformats.org/spreadsheetml/2006/main">
  <authors>
    <author>juan.jimenez</author>
    <author>Julian David Perez Rios</author>
  </authors>
  <commentList>
    <comment ref="Z14" authorId="0">
      <text>
        <r>
          <rPr>
            <b/>
            <sz val="8"/>
            <color indexed="81"/>
            <rFont val="Tahoma"/>
            <family val="2"/>
          </rPr>
          <t>juan.jimenez:</t>
        </r>
        <r>
          <rPr>
            <sz val="8"/>
            <color indexed="81"/>
            <rFont val="Tahoma"/>
            <family val="2"/>
          </rPr>
          <t xml:space="preserve">
Relacionar los resultados de medicion de cada uno de los indicadores según la programacion y la ejecucion</t>
        </r>
      </text>
    </comment>
    <comment ref="AD14" author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E14" authorId="0">
      <text>
        <r>
          <rPr>
            <b/>
            <sz val="8"/>
            <color indexed="81"/>
            <rFont val="Tahoma"/>
            <family val="2"/>
          </rPr>
          <t>juan.jimenez:</t>
        </r>
        <r>
          <rPr>
            <sz val="8"/>
            <color indexed="81"/>
            <rFont val="Tahoma"/>
            <family val="2"/>
          </rPr>
          <t xml:space="preserve">
Documentar y establecer los medios de verificacion de los resultados obtenidos</t>
        </r>
      </text>
    </comment>
    <comment ref="AF14" authorId="0">
      <text>
        <r>
          <rPr>
            <b/>
            <sz val="8"/>
            <color indexed="81"/>
            <rFont val="Tahoma"/>
            <family val="2"/>
          </rPr>
          <t>juan.jimenez:</t>
        </r>
        <r>
          <rPr>
            <sz val="8"/>
            <color indexed="81"/>
            <rFont val="Tahoma"/>
            <family val="2"/>
          </rPr>
          <t xml:space="preserve">
Relacionar los resultados de medicion de cada uno de los indicadores según la programacion y la ejecucion</t>
        </r>
      </text>
    </comment>
    <comment ref="AJ14" author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K14" authorId="0">
      <text>
        <r>
          <rPr>
            <b/>
            <sz val="8"/>
            <color indexed="81"/>
            <rFont val="Tahoma"/>
            <family val="2"/>
          </rPr>
          <t>juan.jimenez:</t>
        </r>
        <r>
          <rPr>
            <sz val="8"/>
            <color indexed="81"/>
            <rFont val="Tahoma"/>
            <family val="2"/>
          </rPr>
          <t xml:space="preserve">
Documentar y establecer los medios de verificacion de los resultados obtenidos</t>
        </r>
      </text>
    </comment>
    <comment ref="AL14" authorId="0">
      <text>
        <r>
          <rPr>
            <b/>
            <sz val="8"/>
            <color indexed="81"/>
            <rFont val="Tahoma"/>
            <family val="2"/>
          </rPr>
          <t>juan.jimenez:</t>
        </r>
        <r>
          <rPr>
            <sz val="8"/>
            <color indexed="81"/>
            <rFont val="Tahoma"/>
            <family val="2"/>
          </rPr>
          <t xml:space="preserve">
Este apartado se debe realizar un breve analisis de los resultados obtenidos durante el</t>
        </r>
      </text>
    </comment>
    <comment ref="AO14" authorId="0">
      <text>
        <r>
          <rPr>
            <b/>
            <sz val="8"/>
            <color indexed="81"/>
            <rFont val="Tahoma"/>
            <family val="2"/>
          </rPr>
          <t>juan.jimenez:</t>
        </r>
        <r>
          <rPr>
            <sz val="8"/>
            <color indexed="81"/>
            <rFont val="Tahoma"/>
            <family val="2"/>
          </rPr>
          <t xml:space="preserve">
Documentar y establecer los medios de verificacion de los resultados obtenidos</t>
        </r>
      </text>
    </comment>
    <comment ref="AP14" author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R14" authorId="0">
      <text>
        <r>
          <rPr>
            <b/>
            <sz val="8"/>
            <color indexed="81"/>
            <rFont val="Tahoma"/>
            <family val="2"/>
          </rPr>
          <t>juan.jimenez:</t>
        </r>
        <r>
          <rPr>
            <sz val="8"/>
            <color indexed="81"/>
            <rFont val="Tahoma"/>
            <family val="2"/>
          </rPr>
          <t xml:space="preserve">
Este apartado se debe realizar un breve analisis de los resultados obtenidos durante el</t>
        </r>
      </text>
    </comment>
    <comment ref="AU14" authorId="0">
      <text>
        <r>
          <rPr>
            <b/>
            <sz val="8"/>
            <color indexed="81"/>
            <rFont val="Tahoma"/>
            <family val="2"/>
          </rPr>
          <t>juan.jimenez:</t>
        </r>
        <r>
          <rPr>
            <sz val="8"/>
            <color indexed="81"/>
            <rFont val="Tahoma"/>
            <family val="2"/>
          </rPr>
          <t xml:space="preserve">
Documentar y establecer los medios de verificacion de los resultados obtenidos</t>
        </r>
      </text>
    </comment>
    <comment ref="AV14" author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X14" authorId="0">
      <text>
        <r>
          <rPr>
            <b/>
            <sz val="8"/>
            <color indexed="81"/>
            <rFont val="Tahoma"/>
            <family val="2"/>
          </rPr>
          <t>juan.jimenez:</t>
        </r>
        <r>
          <rPr>
            <sz val="8"/>
            <color indexed="81"/>
            <rFont val="Tahoma"/>
            <family val="2"/>
          </rPr>
          <t xml:space="preserve">
Relacionar en este apartado los resultados finales de cada meta durante toda la vigencia </t>
        </r>
      </text>
    </comment>
    <comment ref="BA14" authorId="0">
      <text>
        <r>
          <rPr>
            <b/>
            <sz val="12"/>
            <color indexed="81"/>
            <rFont val="Tahoma"/>
            <family val="2"/>
          </rPr>
          <t>juan.jimenez:</t>
        </r>
        <r>
          <rPr>
            <sz val="12"/>
            <color indexed="81"/>
            <rFont val="Tahoma"/>
            <family val="2"/>
          </rPr>
          <t xml:space="preserve">
Establecer el resultado de la medicion llevada a cabo durante la vigencia</t>
        </r>
      </text>
    </comment>
    <comment ref="BC14" authorId="0">
      <text>
        <r>
          <rPr>
            <b/>
            <sz val="8"/>
            <color indexed="81"/>
            <rFont val="Tahoma"/>
            <family val="2"/>
          </rPr>
          <t>juan.jimenez:</t>
        </r>
        <r>
          <rPr>
            <sz val="8"/>
            <color indexed="81"/>
            <rFont val="Tahoma"/>
            <family val="2"/>
          </rPr>
          <t xml:space="preserve">
Realizar un analisis del resultado final obtenido durante la ejecucion del plan de gestion</t>
        </r>
      </text>
    </comment>
    <comment ref="B15" authorId="0">
      <text>
        <r>
          <rPr>
            <b/>
            <sz val="8"/>
            <color indexed="81"/>
            <rFont val="Tahoma"/>
            <family val="2"/>
          </rPr>
          <t>juan.jimenez:</t>
        </r>
        <r>
          <rPr>
            <sz val="8"/>
            <color indexed="81"/>
            <rFont val="Tahoma"/>
            <family val="2"/>
          </rPr>
          <t xml:space="preserve">
Seleccionar el objetivo estrategico asociado al proceso</t>
        </r>
      </text>
    </comment>
    <comment ref="J15" authorId="0">
      <text>
        <r>
          <rPr>
            <b/>
            <sz val="8"/>
            <color indexed="81"/>
            <rFont val="Tahoma"/>
            <family val="2"/>
          </rPr>
          <t>juan.jimenez:</t>
        </r>
        <r>
          <rPr>
            <sz val="8"/>
            <color indexed="81"/>
            <rFont val="Tahoma"/>
            <family val="2"/>
          </rPr>
          <t xml:space="preserve">
Establecer el tipo programacion:
- Suma
-Constante
-Creciente
-Decreciente</t>
        </r>
      </text>
    </comment>
    <comment ref="Q15" authorId="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text>
        <r>
          <rPr>
            <b/>
            <sz val="8"/>
            <color indexed="81"/>
            <rFont val="Tahoma"/>
            <family val="2"/>
          </rPr>
          <t>juan.jimenez:</t>
        </r>
        <r>
          <rPr>
            <sz val="8"/>
            <color indexed="81"/>
            <rFont val="Tahoma"/>
            <family val="2"/>
          </rPr>
          <t xml:space="preserve">
Establecer la o las dependencias responsables del proceso</t>
        </r>
      </text>
    </comment>
    <comment ref="T15" authorId="0">
      <text>
        <r>
          <rPr>
            <b/>
            <sz val="8"/>
            <color indexed="81"/>
            <rFont val="Tahoma"/>
            <family val="2"/>
          </rPr>
          <t>juan.jimenez:</t>
        </r>
        <r>
          <rPr>
            <sz val="8"/>
            <color indexed="81"/>
            <rFont val="Tahoma"/>
            <family val="2"/>
          </rPr>
          <t xml:space="preserve">
Dejar este apartado para el diligenciamiento en la DPSI</t>
        </r>
      </text>
    </comment>
    <comment ref="U15" authorId="0">
      <text>
        <r>
          <rPr>
            <b/>
            <sz val="8"/>
            <color indexed="81"/>
            <rFont val="Tahoma"/>
            <family val="2"/>
          </rPr>
          <t>juan.jimenez:</t>
        </r>
        <r>
          <rPr>
            <sz val="8"/>
            <color indexed="81"/>
            <rFont val="Tahoma"/>
            <family val="2"/>
          </rPr>
          <t xml:space="preserve">
Asociar la fuente de financiacion
-Recursos Inversion
-Recursos Funcionamiento</t>
        </r>
      </text>
    </comment>
    <comment ref="Y15" authorId="0">
      <text>
        <r>
          <rPr>
            <b/>
            <sz val="8"/>
            <color indexed="81"/>
            <rFont val="Tahoma"/>
            <family val="2"/>
          </rPr>
          <t>juan.jimenez:</t>
        </r>
        <r>
          <rPr>
            <sz val="8"/>
            <color indexed="81"/>
            <rFont val="Tahoma"/>
            <family val="2"/>
          </rPr>
          <t xml:space="preserve">
Cuantificar el valor total (en millones de pesos) de cada meta</t>
        </r>
      </text>
    </comment>
    <comment ref="W16" authorId="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D17" authorId="0">
      <text>
        <r>
          <rPr>
            <b/>
            <sz val="8"/>
            <color indexed="81"/>
            <rFont val="Tahoma"/>
            <family val="2"/>
          </rPr>
          <t xml:space="preserve">
</t>
        </r>
        <r>
          <rPr>
            <b/>
            <sz val="14"/>
            <color indexed="81"/>
            <rFont val="Tahoma"/>
            <family val="2"/>
          </rPr>
          <t>Ejecutar entre 90% y 100%
la meta minima es 90%</t>
        </r>
      </text>
    </comment>
    <comment ref="D19" authorId="0">
      <text>
        <r>
          <rPr>
            <b/>
            <sz val="10"/>
            <color indexed="81"/>
            <rFont val="Tahoma"/>
            <family val="2"/>
          </rPr>
          <t>La meta debe que e programe debe estar entre el rando de 
Minimo 10%
Maximo 100%</t>
        </r>
      </text>
    </comment>
    <comment ref="D22" authorId="0">
      <text>
        <r>
          <rPr>
            <b/>
            <sz val="18"/>
            <color indexed="81"/>
            <rFont val="Tahoma"/>
            <family val="2"/>
          </rPr>
          <t xml:space="preserve">Levantar Linea Base </t>
        </r>
      </text>
    </comment>
    <comment ref="C28" authorId="0">
      <text>
        <r>
          <rPr>
            <sz val="8"/>
            <color indexed="81"/>
            <rFont val="Tahoma"/>
            <family val="2"/>
          </rPr>
          <t xml:space="preserve">ESTABLECER METAS DEL PLAN DE DESARROLLO LOCAL,  QUE ESTEN RELACIONADAS CON 
</t>
        </r>
      </text>
    </comment>
    <comment ref="E33" authorId="0">
      <text>
        <r>
          <rPr>
            <b/>
            <sz val="22"/>
            <color indexed="81"/>
            <rFont val="Tahoma"/>
            <family val="2"/>
          </rPr>
          <t>DEBE SUMAR UN 10%</t>
        </r>
      </text>
    </comment>
    <comment ref="D34" authorId="0">
      <text>
        <r>
          <rPr>
            <b/>
            <sz val="11"/>
            <color indexed="81"/>
            <rFont val="Tahoma"/>
            <family val="2"/>
          </rPr>
          <t xml:space="preserve">
</t>
        </r>
        <r>
          <rPr>
            <b/>
            <sz val="20"/>
            <color indexed="81"/>
            <rFont val="Tahoma"/>
            <family val="2"/>
          </rPr>
          <t>La propuesta de la Subsecretaría de Gestion Local es como mìnimo estas magnitudes, a partir de ahí cada Alcaldìa Local programa la cantidad que pueda desarrollar. No se reciben programaciones inferiores</t>
        </r>
        <r>
          <rPr>
            <b/>
            <sz val="11"/>
            <color indexed="81"/>
            <rFont val="Tahoma"/>
            <family val="2"/>
          </rPr>
          <t xml:space="preserve">
</t>
        </r>
        <r>
          <rPr>
            <b/>
            <sz val="20"/>
            <color indexed="81"/>
            <rFont val="Tahoma"/>
            <family val="2"/>
          </rPr>
          <t>Cuando formulen la meta, retiren la palabra "mìnimo"</t>
        </r>
      </text>
    </comment>
    <comment ref="D39" authorId="0">
      <text>
        <r>
          <rPr>
            <b/>
            <sz val="10"/>
            <color indexed="81"/>
            <rFont val="Tahoma"/>
            <family val="2"/>
          </rPr>
          <t>La meta debe programarse entre los rangos
Minimo: 55%
Maximo: 100%</t>
        </r>
      </text>
    </comment>
    <comment ref="D58" authorId="0">
      <text>
        <r>
          <rPr>
            <b/>
            <sz val="20"/>
            <color indexed="81"/>
            <rFont val="Tahoma"/>
            <family val="2"/>
          </rPr>
          <t>PARA LA PROGRAMACIÓN DE ESTAS DOS METAS FAVOR TENER EN CUENTA LA INFORMACIÓN SUMINISTRADA POR LA DIRECCIÓN ADMINSITRATIVA SEGÚN RADICADO 20174200086913
y REUNIÓN DEL DIA 8 DE MARZO DE 2017</t>
        </r>
      </text>
    </comment>
    <comment ref="D64" authorId="0">
      <text>
        <r>
          <rPr>
            <b/>
            <sz val="28"/>
            <color indexed="81"/>
            <rFont val="Tahoma"/>
            <family val="2"/>
          </rPr>
          <t>TRANSVERSALES</t>
        </r>
      </text>
    </comment>
    <comment ref="AB66" authorId="1">
      <text>
        <r>
          <rPr>
            <b/>
            <sz val="9"/>
            <color indexed="81"/>
            <rFont val="Tahoma"/>
            <family val="2"/>
          </rPr>
          <t>81% EN PLANES INTERNOS Y 90% EN EXTERNOS</t>
        </r>
      </text>
    </comment>
    <comment ref="D67" authorId="0">
      <text>
        <r>
          <rPr>
            <b/>
            <sz val="20"/>
            <color indexed="81"/>
            <rFont val="Tahoma"/>
            <family val="2"/>
          </rPr>
          <t>AMARILLO - METAS TRANSVERSALES ASOCIADAS AL MEJORAMIENTO DEL SISTEMA DE GESTIÓN DE LA ENTIDAD</t>
        </r>
      </text>
    </comment>
    <comment ref="AB68" authorId="1">
      <text>
        <r>
          <rPr>
            <b/>
            <sz val="9"/>
            <color indexed="81"/>
            <rFont val="Tahoma"/>
            <family val="2"/>
          </rPr>
          <t>Asistencia a 6 reuniones de 7 convocadas</t>
        </r>
      </text>
    </comment>
    <comment ref="AC69" authorId="1">
      <text>
        <r>
          <rPr>
            <b/>
            <sz val="9"/>
            <color indexed="81"/>
            <rFont val="Tahoma"/>
            <family val="2"/>
          </rPr>
          <t>Los cronogramas se concertaron con los procesos a finales de marzo</t>
        </r>
      </text>
    </comment>
  </commentList>
</comments>
</file>

<file path=xl/comments2.xml><?xml version="1.0" encoding="utf-8"?>
<comments xmlns="http://schemas.openxmlformats.org/spreadsheetml/2006/main">
  <authors>
    <author>Sandy.Calderon</author>
  </authors>
  <commentList>
    <comment ref="C91" author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<sst xmlns="http://schemas.openxmlformats.org/spreadsheetml/2006/main" count="1030" uniqueCount="594">
  <si>
    <t>SECRETARIA DISTRITAL DE GOBIERNO</t>
  </si>
  <si>
    <t>VIGENCIA DE LA PLANEACIÓN</t>
  </si>
  <si>
    <t>DEPENDENCIA</t>
  </si>
  <si>
    <t>OBJETIVO PROCESO</t>
  </si>
  <si>
    <t>ALCANCE PROCESO</t>
  </si>
  <si>
    <t>LIDER DEL PROCESO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</si>
  <si>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</si>
  <si>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</si>
  <si>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</si>
  <si>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</si>
  <si>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</si>
  <si>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</si>
  <si>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</si>
  <si>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</si>
  <si>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</si>
  <si>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</si>
  <si>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</si>
  <si>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</si>
  <si>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</si>
  <si>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</si>
  <si>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</si>
  <si>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</si>
  <si>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</si>
  <si>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</si>
  <si>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</si>
  <si>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</si>
  <si>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</si>
  <si>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</si>
  <si>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</si>
  <si>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</si>
  <si>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</si>
  <si>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</si>
  <si>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</si>
  <si>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</si>
  <si>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</si>
  <si>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</si>
  <si>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</si>
  <si>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</si>
  <si>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</si>
  <si>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</si>
  <si>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</si>
  <si>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</si>
  <si>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</si>
  <si>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</si>
  <si>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</si>
  <si>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</si>
  <si>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</si>
  <si>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</si>
  <si>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</si>
  <si>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</si>
  <si>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</si>
  <si>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</si>
  <si>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</si>
  <si>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90% del plan de acción aprobado por el CLG.</t>
  </si>
  <si>
    <t>GESTIÓN</t>
  </si>
  <si>
    <t>Ejecución plan de acción del CLG</t>
  </si>
  <si>
    <t>(No. de actividades realizadas del Plan de Acción del CLG / No. actividades del Plan de Acción del CLG programadas)*100</t>
  </si>
  <si>
    <t>SUMA</t>
  </si>
  <si>
    <t>Actividades</t>
  </si>
  <si>
    <t>EFICACIA</t>
  </si>
  <si>
    <t>Carpeta Consejo Local de Gobierno</t>
  </si>
  <si>
    <t>Coordinacion Area de gestion para el Desarrollo Local y los 14 sectores que hacen presencia en el CLG</t>
  </si>
  <si>
    <t>NO</t>
  </si>
  <si>
    <t>N/A</t>
  </si>
  <si>
    <t>Memorando 20176020012963 y actas del Consejo Local de Gobierno</t>
  </si>
  <si>
    <t>El profesional especializado 222-24 del área de Gestión para el Desarrollo Local informa a través del memorando 20176020012963 que en lo corrido del 1° y 2° trimestres se han realizado acciones previas que se requerían para iniciar las acciones indicadas en el plan de acción del CLG.</t>
  </si>
  <si>
    <t>Carpeta Consejo Local de Gobierno. Reposa en la oficina del área de Gestión para el Desarrollo Local.</t>
  </si>
  <si>
    <t>De acuerdo a lo informado por el profesional especializado 222-24 del Área de Gestión para el Desarrollo Local Administrativo y financiero, mediante el radicado 20176020021163. 
De la meta: Realizar 5 procesos que en el marco de las soluciones integrales, permitan contrarestar la inseguridad y mejorar la convivencia y bienestar de los residentes. En el tercer trimestre se realizaron 3 en las siguientes fechas: 26 de agosto de 2017; 22 de septiembre de 2017 y 27 de julio de 2017.
De la meta: Realizar 4 procesos que en el marco de las soluciones integrales, permitan contrarestar la inseguridad y mejorar la convivencia y bienestar de los residentes, de las cuales a la fecha se han realizado 3.
De la meta: Realizar 5 procesos que en el marco de las soluciones integrales, permitan contrarestar la inseguridad y mejorar la convivencia y bienestar de los residentes.</t>
  </si>
  <si>
    <t>De acuerdo a lo informado por el profesional especializado 222-24 del Área de Gestión para el Desarrollo Local Administrativo y financiero vía correo electrónico del 4 de enero de 2017.
De la meta: Realizar 5 procesos que en el marco de las soluciones integrales, permitan contrarestar la inseguridad y mejorar la convivencia y bienestar de los residentes. En el IV trimestre se realizaron 2 en las siguientes fechas: 21 de octubre de 2017
De la meta: Realizar 4 procesos que en el marco de las soluciones integrales, permitan contrarestar la inseguridad y mejorar la convivencia y bienestar de los residentes. En el IV trimestre no se realizó ninguna actividad.
De la meta: Realizar 5 procesos que en el marco de las soluciones integrales, permitan contrarestar la inseguridad y mejorar la convivencia y bienestar de los residentes. Se han realizado 2 actividades</t>
  </si>
  <si>
    <t xml:space="preserve">De acuerdo a los reportes presentados por el Secretario Técnico del Consejo Local de Gobierno, se observa un cumplimiento del 94% del plan de acción. Los avances realizados son producto de la articulación interinstitucional en el territorio. </t>
  </si>
  <si>
    <t>Realizar mínimo un (01) ejercicio de Dialogo Social en el marco del Proceso de Rendición de Cuentas, de conformidad con la metodología establecida</t>
  </si>
  <si>
    <t>Avance del cumplimiento físico logrado en el plan de desarrollo</t>
  </si>
  <si>
    <t>% de avance en el cumplimiento físico del plan de desarrollo local según el dato que arroje la matriz MUSI (Ejecución real)</t>
  </si>
  <si>
    <t>Diálogo social</t>
  </si>
  <si>
    <t>Carpetas - Rendición de Cuentas</t>
  </si>
  <si>
    <t>Alcalde Local
Observatorio Local</t>
  </si>
  <si>
    <t>Esta meta no fue programada para el primer trimestre de 2017</t>
  </si>
  <si>
    <t>La rendición de cuentas se realizó el 22 de abril de 2017.</t>
  </si>
  <si>
    <t>Carpeta Rendición de Cuentas, reposa en la Oficina del Observatorio Local.</t>
  </si>
  <si>
    <t>La rendición de cuentas se realizó el 22 de abril de 2017, en la cual se dio cuenta de la ejecución presupuestal y física de los recursos asignados para el año 2016  y de las gestiones adelantadas para dar cumplimiento a las metas del plan de desarrollo.</t>
  </si>
  <si>
    <t>Lograr el 10% de avance del cumplimiento físico-Entregado en el Plan de Desarrollo Local</t>
  </si>
  <si>
    <t>Ejercicios de Dialogo Social en lo Local</t>
  </si>
  <si>
    <t>NO. Ejercicios de dialogo social</t>
  </si>
  <si>
    <t>CRECIENTE</t>
  </si>
  <si>
    <t>% Avance de ejcución físia PDL</t>
  </si>
  <si>
    <t>MUSI - Medio magnético</t>
  </si>
  <si>
    <t xml:space="preserve">Alcalde Local
Comité de Contratación
</t>
  </si>
  <si>
    <t>Esta meta no está programada para el II Trimestre</t>
  </si>
  <si>
    <t>Esta meta no fue programada para el tercer trimestre de 2017</t>
  </si>
  <si>
    <t>Con base en el reporte de la MUSI  a 31 de diciembre de 2017 que se tienen un 12.3% de avance de cumplimiento del plan de desarrollo 2017 - 2020, según los bienes y servicios entregados.</t>
  </si>
  <si>
    <t>TOTAL PROCESO</t>
  </si>
  <si>
    <t xml:space="preserve">FOMENTO Y PROTECCIÓN DE DDHH
</t>
  </si>
  <si>
    <t>Implementar el 35 % del Plan de Intervención Local en DDHH</t>
  </si>
  <si>
    <t>Implementaciòn del plan de intervenmciòn local</t>
  </si>
  <si>
    <t>% de implementacion del plan de intervencion local en derechos humanos</t>
  </si>
  <si>
    <t>Acciones del plan de intervención local</t>
  </si>
  <si>
    <t>Informe Dirección de Derechos Humanos</t>
  </si>
  <si>
    <t>Alcaldía Local y Dirección de Derechos Humanos</t>
  </si>
  <si>
    <t>Esta meta no está programada para el II Trimestre. La Dirección de DDHH informa mediante radicado 20173100257033 que durante el II Trimestre se realizó la formulación del Plan Local de intervención en Derechos Humanos para la localidad.</t>
  </si>
  <si>
    <t>Memorando 20173100257033 - reposa en Carpeta Plan de Gestión</t>
  </si>
  <si>
    <t>En el informe presentado en el radicado 20173100543213 de la Dirección de Derechos Humanos, indica el siguiente avance por cada una de las líneas:
1) Policía y Derechos Humanos: 3.6%
2) Trata de personas: 3.6%
3) Prevención y protección en derechos humanos a defensores y defensoras de DDHH y personas LGBTI: 3.6%
4) Educación en derechos humanos para la paz y la convivencia: 4.7%
5) Fortalecimiento de la articulación interinstitucional local: 4.6%
Las etapas del plan de intervención estuvieron compuestas por
Formulación: 15%
Implementación: 20%
Llegando a un 35% de implementación del plan de intervención</t>
  </si>
  <si>
    <t>Radicado 20173100543213 y sus anexos</t>
  </si>
  <si>
    <t>Durante la vigencia se solicitó el reporte a la Dirección de Derechos Humanos en relación con la implementación del plan de intervención, al informar:
Las etapas del plan de intervención estuvieron compuestas por
Formulación: 15%
Implementación: 20%
Llegando a un 35% de implementación del plan de intervención</t>
  </si>
  <si>
    <t>Incrementar y/o mantener las lineas de acción de Derechos Humanos en el Plan Operativo Anual Local</t>
  </si>
  <si>
    <t>RETADORA (MEJORA)</t>
  </si>
  <si>
    <t>Lineas de acción de DDHH incrementadas</t>
  </si>
  <si>
    <t>No. De lineas de accion de derechos humanos en el marco del plan operativo anual local incrementadas</t>
  </si>
  <si>
    <t>CONSTANTE</t>
  </si>
  <si>
    <t>No. de líneas de acción de DDHH</t>
  </si>
  <si>
    <t>POAI 2017</t>
  </si>
  <si>
    <t>SI</t>
  </si>
  <si>
    <t>Identificación de las líneas de inversión en el Plan Operativo Anual de Inversiones – POAI 2017, las cuales son:
- Desarrollo Integral y buen trato para los niños y las niñas.
- Envejecimiento digno, activo y feliz
- Ayudas para la calidad de vida de personas con discapacidad.
- Espacios seguros y confiables para la convivencia
- El Derecho a las mujeres a una vida libre de violencia
- Empoderamiento social con corresponsabilidad</t>
  </si>
  <si>
    <t>Acta de reunión con el enlace de la Dirección de DDHH, Camilo Ramírez</t>
  </si>
  <si>
    <t>La Alcaldía Local de Engativá informó mediante el radicado 20186020000653, los avances en términos de ejecución presupuestal por cada una de las líneas de acción de Derechos Humanos identificadas en el POAI 2017.</t>
  </si>
  <si>
    <t xml:space="preserve">RELACIONES ESTRATEGICAS
</t>
  </si>
  <si>
    <t>Implementar los mecanismos y las acciones necesarias para responder oportunamente el 100% del ejercicio de control político, los derechos de petición y/o solicitudes de información que realice el Concejo de Bogotá, D.C. y el Congreso de la República.</t>
  </si>
  <si>
    <t>Mecanismos de respuesta oportuna</t>
  </si>
  <si>
    <t>No. de mecanismos implementados para responder oportunamente el ejercicio de control político, derechos de petición y solicitudes de información</t>
  </si>
  <si>
    <t xml:space="preserve">Mecanismos implementados </t>
  </si>
  <si>
    <t xml:space="preserve">Mecanismos y memorandos </t>
  </si>
  <si>
    <t>Coordinación área del Desarrollo Local</t>
  </si>
  <si>
    <t>Esta meta no está programada para el II Trimestre.</t>
  </si>
  <si>
    <t>Durante el año 2017 se realizaron las gestiones correspondientes para adelantar el diseño del mecanismo de seguimiento y control de las respuestas oportunas  del ejercicio de control político, los derechos de petición y/o solicitudes de información. Pero, no se pudo culminar el diseño del mismo, ni su implementación, debido a que no se contaba con un profesional que tuviera bajo su responsabilidad.</t>
  </si>
  <si>
    <t>Participar en el 100% de las convoctarias que realice la Dirección de Relaciones Políticas a las sesiones de las Juntas Administradoras Locales destinadas a documentar inquietudes y sugerencias de estas corporaciones de elección local.</t>
  </si>
  <si>
    <t>Participación en convocatorias de la dirección de relaciones políticas</t>
  </si>
  <si>
    <t>(No de participaciones documentadas de la Alcaldía Local/No de convocatorias realizadas por la Dirección de Relaciones políticas)*100</t>
  </si>
  <si>
    <t>Participaciones documentadas de la Alcaldía Local en las convocatorias realizadas por la Dirección de Relaciones Políticas</t>
  </si>
  <si>
    <t>Actas de asistencia</t>
  </si>
  <si>
    <t>Alcaldía Local y Dirección de Relaciones Políticas</t>
  </si>
  <si>
    <t>De acuerdoal correo electrónico del 8 de mayo de 2017 informan:
1. Teniendo en cuenta su solicitud me permito informarle que para el primer trimestre del 2017 no se realizo ninguna convocatoria.
2. Para este segundo trimestre se tiene programas unas actividades a realizar que se encuentran en valoración y que en caso de quedar la localidad de Engativá en el cronograma para el segundo trimestre le será avisado con anterioridad para coordinar las acciones correspondientes.</t>
  </si>
  <si>
    <t>Mediante el radicado 20171700296533 el Director de Relaciones Políticas informa que de acuerdo a su plan de acción no se tiene definido una fecha en la cual se pueda dar cumplimiento a esta meta del Plan de Gestión.</t>
  </si>
  <si>
    <t>Memorando 20171700296533 - Carpeta Plan de Gestión 2017</t>
  </si>
  <si>
    <t>Durante el año 2017 se adelantaron gestiones desde el Despacho de la Alcaldía estuvo atenta y disponible para particpar en las convocatorias que realice la Dirección de Relaciones Políticas.</t>
  </si>
  <si>
    <t>Realizar una (1) mesa de trabajo entre la Junta Administradora Local, la Alcaldía Local, la Dirección de Relaciones Políticas y funcionarios del nivel Directivo del Distrito Capital, para atender y hacer seguimiento a las solicitudes que presenten estas coorporaciones.</t>
  </si>
  <si>
    <t>Mesa de trabajo con la JAL y la DRP en la Alcaldía Local</t>
  </si>
  <si>
    <t>Una mesa de trabajo lleada a cabo según programación de la DRP</t>
  </si>
  <si>
    <t>Mesa de trabajo</t>
  </si>
  <si>
    <t>Acta de reunión</t>
  </si>
  <si>
    <t>Esta meta no está programada para el II Trimestre. Mediante el radicado 20171700296533 el Director de Relaciones Políticas informa que de acuerdo a su plan de acción no se tiene definido una fecha en la cual se pueda dar cumplimiento a esta meta del Plan de Gestión.</t>
  </si>
  <si>
    <t>El 17 de julio de 2017 se asistió a la reunión que tenía como tema principal la Estación de Bomberos de la Alcaldía Local, a la cual asistieron directivos de la UAECOB, representantes de la Alcaldía Local, un edil y un representante de la Dirección de Relaciones Políticas</t>
  </si>
  <si>
    <t>Acta de reunión - medio magnético carpeta Plan de Gestión 2017 3° Reporte</t>
  </si>
  <si>
    <t>Archivo magnético Plan de Gestión 2017 - 4° Trimestre - Relaciones Estratégicas</t>
  </si>
  <si>
    <t>Durante el año 2017 se adelantaron gestiones desde el Despacho de la Alcaldía estuvo disponible para participar en las mesas de trabajo en la JAL, la DRP y funcionarios de nivel directivo de entidades del Distrito Capital, como la realizada el 17 de julio de 2017 en las instalaciones de la UAECOB.</t>
  </si>
  <si>
    <t xml:space="preserve">COMUNICACIONES ESTRATEGICAS
</t>
  </si>
  <si>
    <t>Socializar al 80% de los directivos y lideres de proceso de la alcaldia local la estrategia de comunicación en cascada</t>
  </si>
  <si>
    <t>Socialización de la estrategia de comunicación</t>
  </si>
  <si>
    <t>% de directivos en la Alcaldía Local que recibieron la socialización de la estrategia de comunicación en cascada</t>
  </si>
  <si>
    <t>Socialización</t>
  </si>
  <si>
    <t>Carpeta de trabajo de oficina de prensa</t>
  </si>
  <si>
    <t>Oficina de Prensa</t>
  </si>
  <si>
    <t>De acuerdo a lo informado por la Oficina de Prensa de la Alcaldía Local mediante radicado 20176020012893, la socialización de la estrategia de comunicación en cascada se realizó el martes 27 de junio de 2017 a los profesionales 222-24 del área de gestión para el desarrollo local y del área de gestión policiva jurídica.</t>
  </si>
  <si>
    <t>Carpeta evidencias plan de gstión en la Oficina de Prensa de la Alcadía Local.</t>
  </si>
  <si>
    <t>Esta meta no está programada para el III Trimestre</t>
  </si>
  <si>
    <t>Esta meta no está programada para el IV Trimestre</t>
  </si>
  <si>
    <t>La Oficina de Prensa realizó la socialización de la estrategia de comunicación en cascada en el II trimestre de 2017</t>
  </si>
  <si>
    <t>Desplegar el 100% de la estrategia de comunicación en cascada en la alcaldia local</t>
  </si>
  <si>
    <t>Despliegue de la estrategia de comunicación</t>
  </si>
  <si>
    <t>% de despliegue de la estrategia de comunicación en cascada en la Alcaldía local</t>
  </si>
  <si>
    <t>Ejecución de la estrategia</t>
  </si>
  <si>
    <t>De acuerdo a lo informado por la Oficina de Prensa de la Alcaldía Local mediante radicado 20176020012893, se realizó el despliegue 100% de la estrategia de comunicación en cascada el 27 de junio, en la cual participaron 19 colaboradores de la Alcaldía Local.</t>
  </si>
  <si>
    <t>De acuerdo a lo informado por la Oficina de Prnesa de la Alcaldía Local 20176020021873</t>
  </si>
  <si>
    <t>La oficina de prensa de la Alcaldía mediante el radicado 20176020031203 informa que durante el año se realizó el despliegue de la estrategia de comunicaciones a 196 servidores públicos.</t>
  </si>
  <si>
    <t>Actas de las socializaciones, las cuales reposan en la Oficina de Prensa</t>
  </si>
  <si>
    <t>De acuerdo a lo reportado por la Oficina de Prensa de la Alcaldía Local, se ha desplegado el 100% de la estrategia de comunicación en cascada, la cual ha sido presentada a 196 servidores públicos.</t>
  </si>
  <si>
    <t>Desarrollar dos (2) campañas externas en la localidad con base en las necesidades de comunicación de la SDG para el año 2017</t>
  </si>
  <si>
    <t>Campañas externas de comunicación</t>
  </si>
  <si>
    <t>2 campañas externas de comunicación</t>
  </si>
  <si>
    <t>Campañas externas</t>
  </si>
  <si>
    <t>De acuerdo a lo informado por la Oficina de Prensa de la Alcaldía Local mediante radicado 20176020012893, durante el II Trimestre se realizaron las siguientes campañas externas:
1. Concurso #TrátameBien #VejezSinMaltrato se desarrolló el 15 de junio de 2017. Así: 2. Entrevista mensual en medios de comunicación nacionales. 2 entrevistas del medio CityTv el 9 y  20 de junio de 2017. 2 entrevistas del medio Canal Capital el 12 y 15 de junio de 2017.</t>
  </si>
  <si>
    <t>Esta meta no esta programada para el III Trimestre</t>
  </si>
  <si>
    <t>Esta meta no esta programada para el IV Trimestre</t>
  </si>
  <si>
    <t>Durante el año 2017  la Oficina de Prensa se realizaron dos campañas externas en el II Trimestre.</t>
  </si>
  <si>
    <t>Desarrollar dos (2) campañas internas en la alcaldia local con base en las necesidades de comunicación de la SDG para el año 2017</t>
  </si>
  <si>
    <t>Campañas internas de comunicación</t>
  </si>
  <si>
    <t>2 campañas internas de comunicación</t>
  </si>
  <si>
    <t>De acuerdo a lo informado por la Oficina de Prensa de la Alcaldía Local mediante radicado 20176020012893, durante el II Trimestre se realizaron las siguientes campañas internas:
1. Celebración del día Internacional de la Familia, se realizó una actividad interna con los colaboradores de la Alcaldía Local el 15 de junio de 2017, la evidencia reposa en la carpeta de archivo de la oficina de prensa.
2. Se llevó a cabo la Jornada de Embellecimiento del quinto piso de la Alcaldía Local el viernes 26 de mayo de 2017, la evidencia reposa en la carpeta de archivo de la oficina de prensa.</t>
  </si>
  <si>
    <t>Esta meta no está programada para el cuarto trimestre</t>
  </si>
  <si>
    <t>Formular y socializar el  Plan de Comunicaciones de la Alcaldia Local para la Vigencia 2017</t>
  </si>
  <si>
    <t>Plan de comunicaciones 2017</t>
  </si>
  <si>
    <t>Un plan de comunicaciones ofrmulado para la vigencia 2017 en la Alcaldía Local</t>
  </si>
  <si>
    <t>Plan de Comunicaciones</t>
  </si>
  <si>
    <t>De acuerdo a lo informado por la Oficina de Prensa de la Alcaldía Local mediante radicado 20176020012893, el Plan de Comunicaciones fue aprobado el 13 de junio de 2017 por la Alcaldesa Local de Engativá y la socialización del mismo se realizó el 27 de junio de 2017.</t>
  </si>
  <si>
    <t>De acuerdo a lo informado por la Oficina de Prensa de la Alcaldía Local mediante radicado 20176020021873, el Plan de Comunicaciones fue modificado el 28 de agosto y aprobado el 15 de septiembre de 2017</t>
  </si>
  <si>
    <t>El Plan de Comunicaciones de la Alcaldía Local fue aprobado el 13 de junio de 2017, el cual fue socializado el 27 de junio.</t>
  </si>
  <si>
    <t xml:space="preserve">IVC
</t>
  </si>
  <si>
    <t>Realizar  30 acciones de control u operativos en materia de urbanismo relacionados con la integridad del espacio público.</t>
  </si>
  <si>
    <t>Acciones de Control u Operativos realizados en espacio público</t>
  </si>
  <si>
    <t xml:space="preserve">Sumatoria de No. Acciones de Control u operativos en espacio público realizados </t>
  </si>
  <si>
    <t>Acciones de control u operativos</t>
  </si>
  <si>
    <t>Actas de operativos</t>
  </si>
  <si>
    <t>Área de Gestión Jurídica y Policivo</t>
  </si>
  <si>
    <t>Durante el primer trimestre se realizaron los siguientes operativos:
1. 26/01/2017 en la AV. CALLE 72 CON CALLE 79A
2. 31/01/2017 en ALREDEDORES DEL CC DIVER PLAZA
3. 16/02/2017 en CARRERA 112B CON CALLE 76
4. 20/02/2017 en CARRERA 111  CALLE 77
5. 20/02/2017 en CALLE 78 CON CARRERA 112B
6. 8/02/2017 en CALLE 72 CON CARRERA 70 ( FRENTE ALMACEN LIDER)
7. 09/03/2017 en CALLE 80 ENTRE AK 96 Y KR 102
8. 14/03/2017 en OPERATIVO DE TRANSITO CALLE 70 CARRERA 72
9. 22/03/2017 en OPERATIVO DE TRANSITO GARCES NAVAS
10. 31/03/2017 en OPERATIVO VILLAS DE GRANADA</t>
  </si>
  <si>
    <t>Carpeta de operativos - espacio público 2017
Carpeta operativos - tránsito 2017</t>
  </si>
  <si>
    <t>De acuerdo a lo informado por el área de Gestión Policiva Jurídica mediante radicado 20176030013683, durante el II Trimestre se realizaron 30 operativos, en las siguientes fechas:
1. 20 de abril de 2017 - Cra 96 con Cll 71C
2. 27 de abril de 2017 - Cra 113A No. 78C-94
3. 27 de abril de 2017 - Cra 113A con Cll 75
4. 27 de abril de 2017 - Cra 113A con Cll 72F
5. 12 de mayo de 2017 - Cll 96 con Crr. 70 A - Parque San Joaquin
6. 16 de junio de 2017 - Cra 119 No. 64 - 95
7. 23 de junio de 2017 - Diagonal 82B No. 79-10
8. 27 de junio de 2017 - Cra 85 L con Cra 65F
9. 30 de junio de 2017 - Calle 76 con Cra. 112B
10. 27 de abril de 2017 - Av. Boyacá con cll 80
11. 20 de junioi de 2017 - Calle 71B entre carrera 101 y 102
12.31 de mayo de 2017 - Humedal Juan Amarillo
13. 8 de junio de 2017 - Humedal Juan Amarillo
14. 28 de junio de 2017 - Canal Boyacá entre Cll 66 y 53
15. 11 de abril de 2017 - Las Ferias
16. 20 de abril de 2017 - Los Monjes
17. 26 de abril de 2017 - Bochica Compartir
18. 4 de mayo de 2017 - Centro Comercial Primavera
19. 9 de mayo de 2017 - Calle 71A con Cra. 74A
20. 12 de mayo de 2017 - Bosques de Mariana
21. 16 de mayo de 2017 - Transversal 74B entre 81F a 81H
22. 18 de mayo de 2017 - Garcés Navas
23. 24 de mayo de 2017 - La Florida
24. 1 de junio de 2017 - Plazuelas del Virrey
25. 6 de junio de 2017 - Ciudadela Colsubsidio
26. 9 de junio de 2017 - Bochica III
27. 13 de junio de 2017 - Boyacá Real
28. 15 de junio de 2017 - Garcés Navas
29. 20 de junio de 2017 - Cll 71B entre Cra. 100 y 102
30. 22 de junio de 2017 - Porvenir</t>
  </si>
  <si>
    <t>Carpeta de operativos de restitución de bienes de uso público
Carpeta de operativos de ventas informales
Carpeta de operativos de habitantes de calle
Carpeta de operativos de tránsito</t>
  </si>
  <si>
    <t>Si bien en el II Trimestre se cumplió la meta establecida, por necesidad del servicio se ha requerido programar los siguientes operativos, informados por el Área de Gestión Policiva y Jurídica 20176030024313 en las siguientes fechas:
Operativos de ventas informales
1) 7 de julio de 2017
2) 26 de julio de 2017
3) 21 de julio de 2017
Operativo de extensión de la actividad comercial
1) 12 de julio de 2017
2) 17 de julio de 2017
3) 24 de julio de 2017
4) 8 de agosto de 2017
5) 14 de agosto de 2017
6) 1 de septiembre de 2017
7) 15 de septiembre de 2017
8) 19 de septiembre de 2017
9) 26 de septiembre de 2017
10) 28 de septiembre de 2017
Operativo de tránsito
1) 6 de julio de 2017
2) 9 de julio de 2017
3) 13 de julio de 2017
4) 27 de julio de 2017
5) 1 de agosto de 2017
6) 10 de agosto de 2017
7) 14 de agosto de 2017
8) 31 de agosto de 2017
9) 4 de septiembre de 2017
10) 12 de septiembre de 2017
11) 21 de septiembre de 2017
12) 25 de septiembre de 2017
13) 28 de septiembre de 2017</t>
  </si>
  <si>
    <t>Si bien el AGPJ en el II Trimestre se cumplió la meta establecida, mediante el radicado 20186030000263 por necesidad del servicio se ha requerido programar los siguientes operativos:
1) 19 de octubre de 2017
2) 6 de octubre de 2017
3) 14 de noviembre de 2017
4) 22 de noviembre de 2017
5) 14 de diciembre de 2017</t>
  </si>
  <si>
    <t>De acuerdo a lo reportado del AGPJ  - Espacio Público, se han realizado los siguientes operativos:
I Trimestre se realizaron 10 operativos
II Trimestre se realizaron 30 operativos
III Trimestre se realizaron 13 operativos
IV Trimestre se realizaron 5 operativos
Los cuales fueron programados teniendo presente las dinámicas que se presentan en la localidad y a partir de la identificación de puntos críticos de las problemáticas o las denuncias realizadas por los ciudadanos en las Juntas Zonales de Seguridad y demás espacios interinstitucionales.</t>
  </si>
  <si>
    <t>Realizar 42 acciones de control u operativos en materia de actividad económica.</t>
  </si>
  <si>
    <t>Acciones de Control u Operativos realizados en materia de actividad económica.</t>
  </si>
  <si>
    <t xml:space="preserve">Sumatoria de  No. Acciones de Control u Operativos en materia de actividad económica realizados </t>
  </si>
  <si>
    <t>Carpeta de actas de operativos</t>
  </si>
  <si>
    <t>Durante el primer trimestre se realizaron los  operativos en las siguientes fechas:
1. 20 de enero de 2017
2. 26 de enero de 2017
3. 4 de febrero de 2017
4. 9 de febrero de 2017
5. 17 de febrero de 2017
6. 26 de febrero de 2017
7. 10 de marzo de 2017
8. 17 de marzo de 2017
9. 23 de marzo de 2017
10. 31 de marzo de 2017</t>
  </si>
  <si>
    <t>Carpeta de operativos - establecimientos de comercio</t>
  </si>
  <si>
    <t>De acuerdo a lo informado por el área de Gestión Policia Jurídica, mediante radicado 20176030014063 durante el II trimestre se realizaron 22 operativos, durante el II Trimestre:
1) 7 de abril de 2017
2) 10 de abril de 2017
3) 21 de abril de 2017
4) 25 de abril de 2017
5) 27 de abril de 2017
6) 4 de mayo de 2017
7) 9 de mayo de 2017
8) 12 de mayo de 2017
9) 16 de mayo de 2017
10) 19 de mayo de 2017
11) 22 de mayo de 2017
12) 24 de mayo de 2017
13) 26 de mayo de 2017
14) 27 de mayo de 2017
15) 6 de junio de 2017
16) 7 de junio de 2017
17) 9 de junio de 2017
18) 14 de junio de 2017
19) 16 de junio de 2017
20) 21 de junio de 2017
21) 23 de junio de 2017
22) 30 de junio de 2017</t>
  </si>
  <si>
    <t>Carpeta de operativos establecimientos de comercio - abril, mayo y junio 2017</t>
  </si>
  <si>
    <t>Si bien en el II Trimestre se cumplió la meta establecida, por necesidad del servicio se ha requerido programar los siguientes operativos, informados por el Área de Gestión Policiva y Jurídica 20176030024223 en las siguientes fechas:
1) 7 de julio de 2017
2) 12 de julio de 2017
3) 14 de julio de 2017
4) 24 de julio de 2017
5) 25 de julio de 2017
6) 26 de julio de 2017
7) 28 de julio de 2017
8) 1° de agosto de 2017
9) 3 de agosto de 2017
10) 9 de agosto de 2017
11) 11 de agosto de 2017
12) 16 de agosto de 2017
13) 18 de agosto de 2017
14) 23 de agosto de 2017
15) 28 de agosto de 2017
16) 31 de agosto de 2017
17) 8 de septiembre de 2017
18) 13 de septiembre de 2017
19) 15 de septiembre de 2017
20) 22 de septimbre de 2017
21) 28 de septiembre de 2017</t>
  </si>
  <si>
    <t>Carpeta de operativos establecimientos de comercio julio, agosto y septiembre 2017</t>
  </si>
  <si>
    <t>De acuerdo a lo informado por el AGPJ en el correo electrónico del 5 de enero de 2018, si bien en el II trimestre se cumplió la meta establecidad por necesidad del servicio se han realizado operativos en las siguientes fechas:
1) 6 de Octubre de 2017
2) 13 de Octubre de 2017
3) 18 de Octubre de 2017
4) 20 de Octubre de 2017
5) 25 de Octubre de 2017
6) 27 de Octubre de 2017
7) 3 de Noviembre de 2017
8) 15 de Noviembre de 2017
9) 17 de Noviembre de 2017
10) 23 de Noviembre de 2017
11) 6 de Diciembre de 2017
12) 15 de Diciembre de 2017
13) 20 de Diciembre de 2017
14) 21 de Diciembre de 2017</t>
  </si>
  <si>
    <t>Carpeta de operativos establecimientos de comercio octubre, noviembre y diciembre 2017</t>
  </si>
  <si>
    <t>De acuerdo a lo reportado del AGPJ  - Ley 232, se han realizado los siguientes operativos:
I Trimestre se realizaron 10 operativos
II Trimestre se realizaron 22 operativos
III Trimestre se realizaron 21 operativos
IV Trimestre se realizaron 14 operativos
Los cuales fueron programados teniendo presente las dinámicas que se presentan en la localidad y a partir de la identificación de puntos críticos de las problemáticas o las denuncias realizadas por los ciudadanos en las Juntas Zonales de Seguridad y demás espacios interinstitucionales</t>
  </si>
  <si>
    <t xml:space="preserve">Realizar  24 acciones de control u operativos en materia de urbanismo relacionados con la integridad urbanística </t>
  </si>
  <si>
    <t>Acciones de Control u Operativos realizados en obras y urbanismo</t>
  </si>
  <si>
    <t xml:space="preserve">Sumatoria de No. Acciones de Control u operativos en obras y urbanismo realizados </t>
  </si>
  <si>
    <t xml:space="preserve">De acuerdo a lo informado por el área de Gestión Policia Jurídica, mediante radicado 20176030013843 durante el II trimestre se realizaron 9 operativos en las siguientes fechas:
1) 12 de abril de 2017
2) 19 de abril de 2017
3) 5 de mayo de 2017
4) 24 de mayo de 2017
5) 30 de mayo de 2017
6) 7 de junio de 2017
7) 21 de junio de 2017
8) 28 de junio de 2017
9) 29 de junio de 2017 </t>
  </si>
  <si>
    <t>Carpeta de operativos - Obras y urbanismo</t>
  </si>
  <si>
    <t>De acuerdo a lo informado por el área de Gestión Policia Jurídica, mediante radicado 20176030024493, durante el III trimestre se realizaron 10 operativos:
1) 04 de agosto de 2017
2) 03 de agosto de 2017
3) 11 de agosto de 2017
4) 18 de agosto de 2017
5) 29 de agosto de 2017
6) 01 de septiembre de 2017
7) 15 de septiembre de 2017
8) 25 de septiembre de 2017
9) 27 de septiembre de 2017
10) 29 de septiembre de 2017</t>
  </si>
  <si>
    <t>De acuerdo a lo informado por el área de Gestión Policiva y Jurídica, mediante radicado 20176030032923 y el correo electrónico del 6 de enero de 2018, en el cual aclaran la información reportada, se realizaron 8 operativos:
1) 9 de octubre de 2017
2) 20 de octubre de 2017
3) 23 de octubre de 2017
4) 27 de octubre de 2017
5) 14 de noviembre de 2017
6) 17 de noviembre de 2017
7) 22 de noviembre de 2017
8) 15 de diciembre de 2017</t>
  </si>
  <si>
    <t>De acuerdo a lo reportado del AGPJ  - Obras y urbanismo, se han realizado los siguientes operativos:
I Trimestre se realizaron 0 operativos
II Trimestre se realizaron 9 operativos
III Trimestre se realizaron 10 operativos
IV Trimestre se realizaron 8 operativos
Los cuales fueron programados teniendo presente las dinámicas que se presentan en la localidad y a partir de la identificación de puntos críticos de las problemáticas o las denuncias realizadas por los ciudadanos en las Juntas Zonales de Seguridad y demás espacios interinstitucionales</t>
  </si>
  <si>
    <t xml:space="preserve">Realizar 12 acciones de control u operativos en materia de ambiente, mineria y relaciones con los animales </t>
  </si>
  <si>
    <t>RUTINARIA</t>
  </si>
  <si>
    <t xml:space="preserve">Acciones de Control u Operativos realizados en Ambiente, Mineria y Relaciones con los animales </t>
  </si>
  <si>
    <t>Sumatoria de No. Acciones de Control u operativos en Ambiente, Mineria y Relaciones con los animales realizados.</t>
  </si>
  <si>
    <t>Durante el primer trimestre se realizaron los siguientes operativos:
1. 27/03/2017  al HUMEDAL JABOQUE SECTOR SAN JOSE OBRERO – PARQUES DE ENGATIVA.
2. 29/03/2017 al CANAL BONANZA</t>
  </si>
  <si>
    <t>Carpeta CPS 044 de 2017 - Inf. Fredy Ortiz</t>
  </si>
  <si>
    <t>De acuerdo a lo informado por el referente de ambiente de la Alcaldía Local mediante radicado 20176020013413 durante el II trimestre se realizaron 11 acciones de control en las siguientes fechas:
1) 1 de abril de 2017 Limpieza canal Bolivia - Chucua de los Curies
2) 9 de abril de 2017 Humedal Jaboque, sector la Riviera
3) 29 de abril de 2017 Humedal Jaboque Sector calle 70B carrera 111
4) 5 de mayo de 2017 Operativo habitante de calle humedal Juan Amarillo
5) 6 de mayo de 2017 Jornada de embellecimiento Distrital
6) 12 de mayo de 2017 Operativo de limpieza río Bogotá (Predio Providencia)
7) 18 de mayo de 2017 Operativo de recolección de llantas Localidad de Engativá
8) 21 de mayo de 2017 Apoyo Jornada de adopción de mascotas en Zoonosis
9) 26 de mayo de 2017 operativo limpieza humedal Juan Amarillo
10) 30 de mayo de 2017 Operativo de habitante de calle Álamos Norte
11) 8 de junio de 2017 Operativo retiro de cambuches humedal Juan Amarillo
12) 10 de junio de 2017 Operativo de embellecimiento, vacunación canina y felina y limpieza sector San Marcos
13) 28 de junio de 2017 Operativo habitante de calle Canal Boyacá</t>
  </si>
  <si>
    <t>En  el III Trimestre no se programo nada, ya que en el I y II Trimestre se cumplió la meta establecida</t>
  </si>
  <si>
    <t>De acuerdo a lo informado por el referente de ambiente de la Alcaldía Local, mediante correo electrnico del 6 de enero de 2018, durante el IV trimestre se realizaron 8 operativos en las siguientes fechas:
1. 15 de octubre de 2017
2. 13 de noviembre de 2017
3. 1° de diciembre de 2017
4. 6 de diciembre de 2017
5. 12 de diciembre de 2017
6. 15 de diciembre de 2017
7. 16 de diciembre de 2017
8. 22 de diciembre de 2017</t>
  </si>
  <si>
    <t>Carpeta CPS 044 de 2017 - Inf. Fredy Ortiz
Carpeta CPS 151 de 2017 - Camilo Andrés Torres</t>
  </si>
  <si>
    <t>De acuerdo a lo reportado por el referente ambiental, se han realizado los siguientes operativos:
I Trimestre: 2
II Trimestre: 11
III Trimestre: 0
IV Trimestre: 12
Los cuales fueron programados teniendo presente las dinámicas que se presentan en la localidad y a partir de la identificación de puntos críticos de las problemáticas o las denuncias realizadas por los ciudadanos en las Juntas Zonales de Seguridad y demás espacios interinstitucionales.</t>
  </si>
  <si>
    <t>Realizar  2 acciones de control u operativos en materia de convivencia relacionados con artículos pirotécnicos y sustancias peligrosas.</t>
  </si>
  <si>
    <t>Acciones de Control u Operativos realizados en Convivencia relacionados con artículos pirotécnicos y sustancias peligrosas</t>
  </si>
  <si>
    <t xml:space="preserve">Sumatoria de No. Acciones de Control u opertativos en materia convivencia relacionados con artículos pirotécnicos y sustancias peligrosas realizados </t>
  </si>
  <si>
    <r>
      <t>De acuerdo a lo informado por las inspecciones de policía mediante radicado 20176040008343</t>
    </r>
    <r>
      <rPr>
        <sz val="12"/>
        <color indexed="10"/>
        <rFont val="Arial"/>
        <family val="2"/>
      </rPr>
      <t>:</t>
    </r>
    <r>
      <rPr>
        <sz val="12"/>
        <color indexed="8"/>
        <rFont val="Arial"/>
        <family val="2"/>
      </rPr>
      <t xml:space="preserve"> se realizó 1 operativos el 15 de diciembre de 2017.</t>
    </r>
  </si>
  <si>
    <t>Actas operativos</t>
  </si>
  <si>
    <t>De acuerdo a lo informado por el AGPJ y las inspecciones de policía los operativos realizados sobre artículos pirotécnicos se llevaron a cabo en el IV trimestre, debido a las zoans identificadas junto con la policía se considero relevante realizar 10 operativos.</t>
  </si>
  <si>
    <t>Resolver el 55%  de las querellas civiles de policia y contravencionales anteriores a la vigencia de la Ley 1801 de 2016.</t>
  </si>
  <si>
    <t>Querellas civiles de policia y contravencionales resueltas</t>
  </si>
  <si>
    <t>(No. Querellas civiles de policia y contravencionales resueltas / No. Querellas civiles de policia y contravencionales activas) * 100</t>
  </si>
  <si>
    <t>Querellas civiles de policía y contravenciones resueltas</t>
  </si>
  <si>
    <t>Aplicativo SI ACTÚA</t>
  </si>
  <si>
    <t>Coordinacion Area de gestion policiva y juridica</t>
  </si>
  <si>
    <t>La inspección de policía 10A resolivó 167 querellas.
La inspección de policía 10C resolvió 59 querellas.
La inspección de policía 10D resolvió 82 querellas.</t>
  </si>
  <si>
    <t>Carpetas de querellas, según memorando 20176040001683</t>
  </si>
  <si>
    <t>Mediante radicado 20176040003323 los inspectores de policía informan:
La inspección 10D resolvió 121 querellas
La inspección 10A resolvió 64 querellas
La inspección 10C resolvió 21 querellas</t>
  </si>
  <si>
    <t>Carpetas de querellas y en la carpeta de fallos 2017</t>
  </si>
  <si>
    <t xml:space="preserve">Mediante los radicados 20176040006233; 20176030024143; 201760400061831; y 20176040006163 los inspectores de policía, informan:
1) La inspección 10C se fallaron 20 expedientes
2) La inspección 10D se fallaron 10
3) La inspección 10B no se tramitaron, ni fallaron expedientes anteriores a la Ley 1801 de 2016
4) La inspección 10A resolvió 48
</t>
  </si>
  <si>
    <t>De acuerdo a lo informado por las inspecciones de policía mediante radicados 20176040008343, 20176040008413; 20186040000113 y 20186040000103, se resolvieron las siguientes querellas:
1) Inspección 10D se fallaron 29
2) Inspección 10C se fallaron 22
3) Inspección 10A se fallaron 55</t>
  </si>
  <si>
    <t>Las inspecciones de policía han informado los avances en la resolución de las querellas civiles y contravenciones anteriores a la vigencia de la Ley 1801 de 2016, durante el año 2017:
1) 308 fallos
2) 206 fallos
3) 128 fallos 
4) 106 fallos
Lo cual evidencia una gestión adicional por parte del equipo de las inspecciones de policía teniendo presente la cantidad de querellas que han sido recibidas a partir de la implementación de la Ley 1801 de 2016.</t>
  </si>
  <si>
    <t>Archivar el 10% de los expedientes de actuaciones administrativas de las vigencias 2015 y anteriores, de conformidad con los lineamientos formulados por la Dirección para la Gestión Policiva.</t>
  </si>
  <si>
    <t>Ejecución plan de descongestión</t>
  </si>
  <si>
    <t>(No. Actuaciones Administrativas Archivadas / No. Actuaciones Administrativas Activas) * 100</t>
  </si>
  <si>
    <t>Actuaciones administrativas archivadas</t>
  </si>
  <si>
    <t xml:space="preserve">De acuerdo a lo informado por el área de gestión policiva jurídica mediante radicados 20176030013683, 20176030013883 y 20176030014133 durante el II Trimestre se archivaron los siguientes expedientes:
Espacio Público: 400 de 1999 con la Resolución No. 119 de 2017 y el expediente 111E de 2012 con la Resolución No. 172 del 9 de mayo de 2017
Actividad económica: 2763 de 2006 y 3982 de 2009
Obras y Urbanismo: 34 expedientes
</t>
  </si>
  <si>
    <t>Reporte SI ACTÚA</t>
  </si>
  <si>
    <t>De acuerdo a lo informado por el área de gestión policiva jurídica mediante radicados 20176030024223, 20176030024493 y 20176030024313 durante el III Trimestre se archivaron los siguientes expedientes:
Establecimientos de comercio: 40 
Espacio Público: 15
Obras y urbanismo: 42</t>
  </si>
  <si>
    <t>De acuerdo a lo informado por el área de Gestión Policiva y Jurídica, mediante radicado 20176030032923 y el correo electrónico del 6 de enero de 2018, 5 de enero de 2018 y 20186030000263 durante el IV trimestre se archivaron los siguientes expedientes:
Obras y Urbanismo: 43
Espacio Público 8
Establecimientos de comercio: 63</t>
  </si>
  <si>
    <t>El AGPJ ha manifestado que el reporte enviado hace referencia a los expedientes que se pueden visualizar en el aplicativo SI ACTÚA. Sin embargo, se han archivo expedientes que en su momento no fueron registrados en el aplicativo en mención, se han realizado las consultas a la Dirección de Gestión Policiva y a través de la mesa de ayuda se han interpuesto los casos correspondientes en los meses de julio, octubre y noviembre del presente año.</t>
  </si>
  <si>
    <t>Registrar en el aplicativo SI ACTUA o el que haga sus veces, el 100% de las indagaciones preliminares.</t>
  </si>
  <si>
    <t>Actuaciones administrativas registradas en el aplicativo</t>
  </si>
  <si>
    <t>(No. Indagaciones preliminares registradas / No.  Indagaciones preliminares activas) * 100</t>
  </si>
  <si>
    <t>Indagaciones preliminares</t>
  </si>
  <si>
    <t>La oficina asesora de Obras durante el primer trimestre subió al aplicativo SI ACTÚA 69 indagaciones preliminares de obras, de acuerdo al reporte entregado.</t>
  </si>
  <si>
    <t>De acuerdo a lo informado por el área de gestión policiva jurídica mediante radicados 20176030013683, 20176030013883 y 20176030013843 durante el II Trimestre se registraron en el aplicativo SI ACTUA los siguientes expedientes:
Obras: 53
Actividad económica: 47
Espacio Público: 2</t>
  </si>
  <si>
    <t>Reporte SI ACTÚA y expedientes</t>
  </si>
  <si>
    <t>De acuerdo a lo informado por el área de gestión policiva jurídica mediante radicados 20176030024223, 20176030024493 y 20176030024313 durante el III Trimestre se registraron en el aplicativo SI ACTÚA los siguientes expedientes:
Establecimiento de comercio: 38
Espacio Público: 0
Obras y Urbanismo: 35</t>
  </si>
  <si>
    <t>De acuerdo a lo informado por el área de Gestión Policiva y Jurídica, mediante radicado 20176030032923 y el correo electrónico del 6 de enero de 2018, 5 de enero de 2018 y 20186030000263 durante el IV trimestre se registraron en el aplicativo SI ACTÚA los siguientes expedientes:
Obras y Urbanismo: 157
Espacio Público 0
Establecimiento de comercio: 0</t>
  </si>
  <si>
    <t>De acuerdo a lo reportado en el AGPJ se ha realizado el registro en SI ACTUA durante todo el 2017 de las siguientes indagaciones preliminares:
I Trimestre: 69
II Trimestre: 102
III Trimestre: 73
IV Trimestre: 157</t>
  </si>
  <si>
    <t>Registrar en el aplicativo SI ACTUA o el que haga sus veces, el 100% de las actuaciones relacionadas con los comportamientos contrarios a la convivencia.</t>
  </si>
  <si>
    <t>Actuaciones policivas registradas en el aplicativo</t>
  </si>
  <si>
    <t>(No. actuaciones policivas registradas / No.  actuaciones policivas activas) * 100</t>
  </si>
  <si>
    <t>Actuaciones policivas</t>
  </si>
  <si>
    <t>Actuaciones relacionadas con comportamiento contrarios a la convivencia recibidas 1379</t>
  </si>
  <si>
    <t>Reposa en la base de datos de reparto de querellas del Auxiliar Norma Barreto</t>
  </si>
  <si>
    <t>De acuerdo a lo informado por el área de gestión policiva juríddica en el radicado 20176030013903 durante el II trimestre se han ingresado en el aplicativo SI ACTUA 1123 comparendos y radicados de comportamiento contrarios a la convivencia</t>
  </si>
  <si>
    <t>De acuerdo a lo informado por el área de gestión policiva juríddica en el radicado 20176030024543 han ingresado duranet el período 1470 comparendo sancionatorios y se han entregado 10 acats de reparto que corresponde a 1196 expedientes</t>
  </si>
  <si>
    <t>De acuerdo a lo informado por la Auxiliar Norma Barreto del AGPJ, mediante correo del 19 de diciembre de 2017, durante el IV trimestre se han entregado: 322; noviembre 362 y 128 en el mes de diciembre.</t>
  </si>
  <si>
    <t>De acuerdo a lo informado por la auxiliar Norma Barreto del AGPJ, durante 2017 se han realizado los siguientes reportes:
I Trimestre: 1374
II Trimestre: 1692
III Trimestre: 1196
IV Trimestre: 812
La dificultad presentada durante el año 2017 para el cumplimiento 100% de la meta ha sido los inconvenientes presentados con el aplicativo SI ACTÚA, la no definición oportuna en relación con la firma de las respuestas a las querellas interpuestas por el profesional 222-24 AGPJ. La no designación de un profesional 222-24 para el AGPJ al momento de ser de conocimiento de la Dirección Humana la situación del Dr. Wilson.</t>
  </si>
  <si>
    <t>Impulsar hasta depurar el 100% de las actuaciones administrativas de las vigencias 2016 y 2017</t>
  </si>
  <si>
    <t>Actuaciones administrativas impulsadas</t>
  </si>
  <si>
    <t>(No. Actuaciones Administrativas impulsadas / No. Actuaciones Administrativas Activas) * 100</t>
  </si>
  <si>
    <t>Actuaciones administrativas</t>
  </si>
  <si>
    <t>Durante el primer trimestre se impulsaron hasta depurar de las siguientes actuaciones administrativas:
159 de 2016 - Obras
757 de 2016 - Obras
024 de 2016 - Obras
075 de 2016 - Obras
44E de 2016 - Obras
114 de 2016 - Obras
345 de 2016 - Obras</t>
  </si>
  <si>
    <t>Libro radicador de actos administrativos 2017</t>
  </si>
  <si>
    <t>De acuerdo a lo informado por el área de gestión policiva jurídica mediante radicados 20176030013683, 20176030013883 y 20176030013843 durante el II Trimestre se impulsaro los siguientes expedientes:
Activiad económica: 82
Obras y urbanismo: 22
Espacio Público: 1</t>
  </si>
  <si>
    <t>Expedientes en mención</t>
  </si>
  <si>
    <t>De acuerdo a lo informado por el área de gestión policiva jurídica mediante radicados 20176030024223, 20176030024493 y 20176030024313 durante el III Trimestre se han impulsado:
1) Espacio Público: 10 expedientes
2) Obras: 50 exp
3) Establecimientos de Comercio: 110 exp</t>
  </si>
  <si>
    <t>De acuerdo a lo informado por el área de Gestión Policiva y Jurídica, mediante radicado 20176030032923 y el correo electrónico del 6 de enero de 2018, 5 de enero de 2018 y 20186030000263 durante el IV trimestre se han impulsado los siguientes expedientes:
1) Espacio Público: 4 expedientes
2) Obras y Urbanismo: 36 expedientes
3) Establecimientos de Comercio: 97</t>
  </si>
  <si>
    <t>Reporte Si Actúa</t>
  </si>
  <si>
    <t>De acuerdo a lo informado por el AGPJ durante el año 2017 se han realizado el impulso de las acctuaciones administrativas de las vigencias 2016 y 2017, así:
I Trimestre: 7
II Trimestre: 105
III Trimestre: 110
IV Trimestre: 252
Es importante mencionar que la línea ha sido modificada en cada trimestre, debido a la cantidad de preliminares que se han registrado durante el año 2017 que corresponden a actuaciones administrativas de las vigencias 2016 - 2017.</t>
  </si>
  <si>
    <t>Disminuir en un 10% las revocatorias en el Consejo de Justicia de las desisiones provenientes de la alcaldia local, en comparación con el año 2016</t>
  </si>
  <si>
    <t>Disminución Revocatorias Consejo de Justicia</t>
  </si>
  <si>
    <t xml:space="preserve">(Número de revocatorias del Consejo de Justicia 2017 / Número de expedientes remitidos al Consejo de Justicia 2017) -
(Número de revocatorias del Consejo de Justicia 2016 / Número de expedientes remitidos al Consejo de Justicia 2016) </t>
  </si>
  <si>
    <t>Revocatorias del Consejo de Justicia</t>
  </si>
  <si>
    <t>De acuerdo a lo informado por el área de gestión policiva jurídica mediante radicados 20176030024223, 20176030024493 y 20176030024313 durante el III Trimestre no se han allegado revocatorias del Consejo de Justicia en 2017 y se han enviado 11 expedientes remitidos al Consejo de Justicia.
No se han allegado revocatorias del Consejo de Justicia en 2016 y se han enviado 15 expedientes remitidos al Consejo de Justicia.</t>
  </si>
  <si>
    <t xml:space="preserve">De acuerdo a lo informado por el área de Gestión Policiva y Jurídica, mediante radicado 20176030032923 y el correo electrónico del 6 de enero de 2018, 5 de enero de 2018 y 20186030000263 durante el IV trimestre no se han allegado revocatorias del Consejo de Justicia en 2017 y se han enviado 14 expedientes remitidos al Consejo de Justicia.
No se han allegado revocatorias del Consejo de Justicia en 2016 y se han enviado 15 expedientes remitidos al Consejo de Justicia </t>
  </si>
  <si>
    <t>El resultado de esta meta es producto a que durante el año 2017 no se han recibido revocatorias del Consejo de Justicia, de acuerdo a lo informado por el AGPJ.</t>
  </si>
  <si>
    <t xml:space="preserve">GESTIÓN CORPORATIVA LOCAL
</t>
  </si>
  <si>
    <t>Comprometer al 30 de junio del 2017 el 50% del presupuesto de inversión directa disponible a la vigencia para el FDL y el 95% al 29 de diciembre de 2017.</t>
  </si>
  <si>
    <t>Ejecución presupuestal de inversión directa</t>
  </si>
  <si>
    <t>(Valor Acumulado del presupuesto de inversión directa comprometido /Valor total de presupuesto de inversión directa disponible) * 100</t>
  </si>
  <si>
    <t>Presupuesto Alcaldía Local</t>
  </si>
  <si>
    <t>EFICIENCIA</t>
  </si>
  <si>
    <t>PREDIS</t>
  </si>
  <si>
    <t>Coordinación del área de gestión para el Desarrollo Local - Profesional Presupuesto FDLE</t>
  </si>
  <si>
    <t>En los siguientes rubros se presentaron los compromisos presupuestales:
1. Envejecimiento Digno, activo y feliz  $ 1.437.111.858
2. Cultura, Recreación y Deporte para la participación Ciudadana $ 120.669.300
3. Parques Incluyentes y Democráticos $70.400.000
4. Movilidad y espacios públicos $ 121.390.000
5. Espacios Seguros y Confiables para la convivencia $80.480.000
6. Territorio sostenible con Participación social $48.000.000
7. Buen Gobierno para estimular la participación social $ 2.423.601.306
8. Empoderamiento social con corresponsabilidad $143.760.000</t>
  </si>
  <si>
    <t>Reporte PREDIS a corte 31 de marzo de 2017</t>
  </si>
  <si>
    <t>En los siguientes rubros se presentaron los compromisos presupuestales:
1. Envejecimiento Digno, activo y feliz  $ 1.629.061.984
2. Ayudas para la calidad de vida a personas con discapacidad $31.126.667
3. Cultura, Recreación y Deporte para la participación Ciudadana $ 178.702.633
4. Parques Incluyentes y Democráticos $239.889.453
5. Movilidad y espacios públicos $ 3.111.890.880
6. Espacios Seguros y Confiables para la convivencia $183.680.000
7. Territorio sostenible con Participación social $81.600.000
8. Buen Gobierno para estimular la participación social $ 4.583.053.702
9. Empoderamiento social con corresponsabilidad $224.726.667</t>
  </si>
  <si>
    <t>Reporte PREDDIS a corte 30 de junio de 2017</t>
  </si>
  <si>
    <t>En los siguientes rubros se presentaron los compromisos presupuestales:
1) Envejecimiento digno, activo y feliz $2.702.380.634
2) Ayudas para la calidad de vida a personas con discapacidad $31.126.667
3) Cultura, recreación y deporte para la participación ciudadana $178.702.633
4) Parques incluyentes y democráticos $239.889.453
5) Movilidad y espacios públicos $3.224.401.019
6) Espacios seguros y confiables para la convivencia $183.680.000
7) Territorio sostenible con participación social $81.600.000 
8) Buen Gobierno para estimular la participación social $5.202.998.915
Se expidió el Decreto de ajuste de los excedentes financieros.</t>
  </si>
  <si>
    <t>Reporte PREDDIS a corte a 30 de septiembre de 2017</t>
  </si>
  <si>
    <t>De acuerdo a lo informado por la Oficina de Presupuesto, mediante el radicado 20186020000223 informa que en los siguientes rubros presupuestales se presentaron los compromisos:
1) Desarrollo Integral y buen trato para los niños y niñas $ 787.527.786
2) Envejecimiento Digno, activo y feliz  $ 24.218.481
3) Ayudas para la calidad de vida a personas con discapacidad $376.115.667
4) Cultura, Recreación y Deporte para la participación Ciudadana $ 2.411.831.771
5) Parques Incluyentes y Democráticos $ 7.670.074.743
6) Movilidad y espacios públicos $ 19.185.914.221
7) Espacios Seguros y Confiables para la convivencia $ 3.145.834.035
8) El Derecho de las Mujeres a una vida libre de la violencia $ 570.278.058
9) Territorio sostenible con Participación social $ 251.237.572
10) Buen Gobierno para estimular la participación social $ 1.616.987.591
11) Empoderamiento social con corresponsabilidad $ 769.816.254
Durante el IV trimestre se realizaron modificaciones presupuestales mediante los siguientes actos administrativos: Decreto 006 del 10 de Octubre de 2017  y Decreto 009 del 21 de Diciembre de 2017.</t>
  </si>
  <si>
    <t>Reporte PREDDIS a corte a 31 de diciembre de 2017</t>
  </si>
  <si>
    <t>De acuerdo a lo informado por la Oficina de Presupuesto del FDLE, se han realizado traslados presupuestales y liberación de saldos de obligaciones por pagar que han modificado el valor del presupuesto total. La ejecución presupuestal de la inversión directa por cada trimestre:
I Trimestre: 9%
II Trimestre: 21%
III Trimesre: 42%
IV Trimestre: 74%</t>
  </si>
  <si>
    <t xml:space="preserve">Girar mínimo el 50% del presupuesto de inversión directa comprometidos en la vigencia 2017
</t>
  </si>
  <si>
    <t>Giros realizados</t>
  </si>
  <si>
    <t>(Valor Acumulado de giros de inversión Directa realizados en la vigencia 2017 /Valor total de presupuesto de inversión directa  disponible) *100</t>
  </si>
  <si>
    <t>Esta meta no está programada para el I Trimestre</t>
  </si>
  <si>
    <t>De acuerdo a lo informado por la Oficina de Presupuesto, mediante el radicado 20186020000223 informa que en los siguientes rubros presupuestales se presentaron los siguientes giros:
Envejecimiento Digno, activo y feliz  $ 922.149.882
Ayudas para la calidad de vida a personas con discapacidad $ 16.240.000
Cultura Recreación y Deporte para la participación y la formación $ 84.700.000
Parques Incluyentes y Democráticos para la participación ciudadanía $ 540.782.042
Movilidad y Espacios Públicos para el disfrute de la ciudadanía $ 329.975.951
Espacios Seguros y Confiables para la convivencia $ 91.216.667
Territorio Sostenible con participación social $ 131.225.404
Buen Gobierno para estimular la participación social $ 2.428.975.640
Empoderamiento social con corresponsabilidad $ 99.485.999</t>
  </si>
  <si>
    <t>De acuerdo a lo informado por la Oficina de Presupuesto del FDLE, se han realizado traslados presupuestales y liberación de saldos de obligaciones por pagar que han modificado el valor del presupuesto total. Se ha realizado el 9% en giros del presupuesto de inversión directa a corte de 31 de diciembre de 2017.</t>
  </si>
  <si>
    <t xml:space="preserve">Girar el 50% del presupuesto comprometido constituido como Obligaciones por Pagar de la vigencia 2016 y anteriores (Funcionamiento e Inversión).
</t>
  </si>
  <si>
    <t>Ejecución de obligaciones por pagar</t>
  </si>
  <si>
    <t>(Valor Acumulado del Giro de las obligaciones por pagar en funcionamiento e Inversión / Valor del presupuesto comprometido de Obligaciones por Pagar en funcionamiento e inversión) * 100</t>
  </si>
  <si>
    <t>En los siguientes rubros de funcionamiento se presentaron los giros de las obligaciones:
1. Gastos de Computador $ 5.518.400
2. Combustibles Lubricantes y Llantas $ 7.682.408
3. Gastos de transporte y Comunicación $ 1.011.800
4. Impresos y Publicaciones $ 14.114.568
5. Mantenimiento Entidad $242.490.528
6. Seguro de Vida Ediles $14.473.570
7. Entrega Subsidio Económico tipo C $ 841.260.490
8. Apropiación Cultural y patrimonial $ 3.008.333
9. Rehabilitación Malla Vial $ 2.016.811.179
10. Mejoramiento condiciones Ambientales $ 1.206.030
11. Promoción y fortalecimiento de la participación ciudadana $32.804.450
12. Fortalecimiento institucional y pago de honorarios ediles $ 973.991.965
13. Obligaciones por pagar por vigencias anteriores $ 1.614.671.420</t>
  </si>
  <si>
    <t>Reporte PREDDIS a corte 31 de marzo de 2017</t>
  </si>
  <si>
    <t>El profesional de presupuesto mediante radicado 20176020013373 informa que en el mes de Abril de 2017, se realiza el ajuste de las Obligaciones por pagar, mediante Decreto 001 del 31 de Marzo de 2017. Asimismo que se realizaron los giros en los siguientes rubros:
1. Gastos de Computador $ 5.518.400
2. Combustibles Lubricantes y Llantas $ 11.517.088
3. Gastos de transporte y Comunicación $ 1.206.500
4. Impresos y Publicaciones $ 18.080.193
5. Mantenimiento Entidad $394.354.243
6. Seguro de Vida Ediles $14.473.570
7. Entrega Subsidio Económico tipo C $ 848.660.490
8. Apropiación Cultural y patrimonial $ 3.008.333
9. Mantenimiento y dotación de parques $ 140.364.355
10. Promoción, formación y apropiación deportiva y recreativa $2.600.000
11. Rehabilitación Malla Vial $ 4.175.490.857
12. Mejoramiento condiciones Ambientales $ 1.206.030
13. Promoción y fortalecimiento de la participación ciudadana $291.258.017
14. Fortalecimiento institucional y pago de honorarios ediles $ 1.310.298.298
15. Obligaciones por pagar por vigencias anteriores $ 1.916.159.399</t>
  </si>
  <si>
    <t>El profesional de presupuesto mediante  20176020021143 informa que se realizaron los giros en los siguientes rubros:
Funcionamiento
1) Gastos de computador $10.106.200
2) Combustibles y lubricantes y llantas $32.667.019
3) Materiales y suministros $27.379.203
4) Gastos de transporte y comunicación $1.849.100
5) Impresos y publicaciones $20.290.418
6) Mantenimiento Entidad $412.248.092
7) Seguro de vida ediles $14.473.570
8) Seguros entidad $498.944
Inversión
1) Entrega subsidio económico tipo C $848.660.490
2) Prevención de violencias, discriminaciones y adecuado uso del tiempo  libre $109.231.350
3) Apropiación cultural y patrimonial $421.350.510
4) Mantenimiento y dotación de parques $1.533.955.157
5) Promoción, formación y apropiación deportiva y recreativa $137.770.491
6) Conciencia social para la preservación y recuperación ambiental $29.411.028
7) Rehabilitación malla vial $4.600.637.292
8) Gestión integral de riesgos y emergencias $14.341.700
9) Mejoramiento condiciones ambientales $1.206.030
10) Promoción y fortalecimiento de la participación ciudadana $321.736.025
11) Fortalecimiento institucional y pago de honorarios ediles $1.645.700.499
12) Obligaciones por pagar por vigencias anteriores $3.086.002.922</t>
  </si>
  <si>
    <t>De acuerdo a lo informado por la Oficina de Presupuesto, mediante el radicado 20186020000223 informa que en los siguientes rubros presupuestales se presentaron los siguientes giros:
Valor acumulado del giro de las obligaciones por pagar en funcionamiento e inversión, durante el cuarto trimestre de 2017. $ 527.922.746  y  $ 13.829.253.451ºº respectivamente.
Valor del presupuesto comprometido de obligaciones por pagar en funcionamiento e inversión. $ 631.659.037 y $ 25.880.075.950  respectivamente.</t>
  </si>
  <si>
    <t>De acuerdo a lo informado por la Oficina de Presupuesto del FDLE, se han realizado traslados presupuestales y liberación de saldos de obligaciones por pagar que han modificado el valor del presupuesto total. Los giros realizados en 2017 en relaci´´on con las obligaciones porpagarpor cada trimestre:
I Trimestre: 16%
II Trimestre: 27%
III Trimesre: 40%
IV Trimestre: 54%</t>
  </si>
  <si>
    <r>
      <t>Adelantar el 100% de los procesos contractuales de malla vial</t>
    </r>
    <r>
      <rPr>
        <sz val="11"/>
        <color indexed="10"/>
        <rFont val="Calibri"/>
        <family val="2"/>
      </rPr>
      <t xml:space="preserve"> </t>
    </r>
    <r>
      <rPr>
        <sz val="11"/>
        <color theme="1"/>
        <rFont val="Calibri"/>
        <family val="2"/>
        <scheme val="minor"/>
      </rPr>
      <t>de la vigencia 2017, utilizando los pliegos tipo.</t>
    </r>
  </si>
  <si>
    <t>Procesos Contractuales de malla vial y parques con pliegos tipo</t>
  </si>
  <si>
    <t>(No. procesos contractuales de malla vial y parques realizados con pliegos tipo / No.  procesos contractuales de malla vial y parques realizados) * 100</t>
  </si>
  <si>
    <t>Procesos contractuales de malla vial y parques</t>
  </si>
  <si>
    <t>SECOP I y carpetas contratos de malla vial</t>
  </si>
  <si>
    <t>Coordinación del área de gestión para el Desarrollo Local -Abogado del FDLE</t>
  </si>
  <si>
    <t>Durante el primer trimestre del año 2017 no se realizó ningún proceso de malla vial y parques</t>
  </si>
  <si>
    <t>SECOP</t>
  </si>
  <si>
    <t>Durante el segundo trimestre del año 2017 no se realizó ningún proceso de malla vial y parques</t>
  </si>
  <si>
    <t>De acuerdo a lo informado por la Oficina de Contratación mediante el radicado 20176020021093, en el III Trimestre se han publicado los siguientes procesos:
1) LP-218-2017, que tiene como objeto "CONTRATAR BAJO LA MODALIDAD DE PRECIOS UNITARIOS FIJOS, Y A MONTO AGOTABLE, LAS OBRAS Y ACTIVIDADES PARA LA COMPLEMENTACIÓN Y/O ACTUALIZACIÓN Y/O AJUSTES A LOS ESTUDIOS Y DISEÑOS Y REHABILITACIÓN, RECONSTRUCCIÓN Y CONSTRUCCIÓN DE LA MALLA VIAL DE LA LOCALIDAD DE ENGATIVÁ Y SU ESPACIO PÚBLICO ASOCIADO"</t>
  </si>
  <si>
    <t>Publicación en SECOP II</t>
  </si>
  <si>
    <t>De acuerdo a lo informado por la Oficina de Contratación, se han realizado los siguientes procesos contractuales de malla vial durante el IV trimestre de 2017:
1) FDLE-LP-244-2017 "REALIZAR EL MANTENIMIENTO Y/O DOTACIÓN DE PARQUES VECINALES Y/O DE BOLSILLO EN LA LOCALIDAD DE ENGATIVÁ, POR EL SISTEMA DE PRECIOS UNITARIOS Y MONTO AGOTABLE"
2) FDLE LP-224-2017 "CONTRATAR BAJO LA MODALIDAD DE PRECIOS UNITARIOS FIJOS Y A MONTO AGOTABLE, LAS OBRAS Y ACTIVIDADES PARA LA CONSERVACIÓN DE LA MALLA VIAL DE LA LOCALIDAD DE ENGATIVÁ Y SU ESPACIO PÚBLICO ASOCIADO"
3) FDLE-LP-243-2017 "SEÑALIZACIÓN DE LOS SEGMENTOS VIALES DE LA MALLA VIAL LOCAL DE LA LOCALIDAD DE ENGATIVÁ"</t>
  </si>
  <si>
    <t>De acuerdo a lo informado por la oficina de contratacion del FDLE durante la vigencia 2017 en el III y IV Trimestre, se generaron 4 procesos contractuales de malla vial utilizando los pliegos tipo.</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</si>
  <si>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</si>
  <si>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Procesos contractuales publicados y actualizados en SECOP I, II y TVEC</t>
  </si>
  <si>
    <t>(No. procesos contractuales planeados, publicados y/o modificados en el Plan Anual de Adquisiciones - PAA en el portal de Colombia Compra Eficiente, asì como las actuaciones contractuales, celebración de contratos y/o convenios; publicados, modificados y/o liquidados en SECOP I o SECOP II o TVEC (según corresponda con la normatividad vigente) / No. actuaciones contractuales planeadas, realizadas, celebradas, publicadas y/o modificadas, y/o liquidadas) * 100</t>
  </si>
  <si>
    <t>Procesos contractuales planeados, publicados y/o modificados en el Plan Anual de Adquisiciones - PAA en el portal de Colombia Compra Eficiente, asì como las actuaciones contractuales, celebración de contratos y/o convenios; publicados, modificados y/o liquidado</t>
  </si>
  <si>
    <t>(PREDIS
Portal Colombia Compra Eficiente) (Informe de cruce de información de reporte - Subsecretarìa de Gestiòn Local)
Informe SIVICOF reportado trimestral a la Subsecretaría de Gestión Local)</t>
  </si>
  <si>
    <t>Abogado del FDL</t>
  </si>
  <si>
    <t>Durante el primer trimestre del año 2017,  se suscribieron 87 contratos por parte del Fondo de Desarrollo Local de Engativá, de los cuales se tienen registrados 62 a 31 de marzo  de 2017 en SECOP</t>
  </si>
  <si>
    <t>De acuerdo a lo informado por la oficina de contratación del FDLE durante el II trimestre se suscribieron:
1) 113 contratos celebrados
2) 10 cesiones
3) 0 prórrogas
4) 8 suspensiones
5) 1 terminación anticipada</t>
  </si>
  <si>
    <t>De acuerdo a lo informado por la Oficina de Contratación mediante el radicado 20176020021093, en el III Trimestre se suscribieron:
1) 47 contratos celebrados</t>
  </si>
  <si>
    <t>De acuerdo a lo informado por la Oficina de Contratación, durante el IV trimestre de 2017, se registraron 40 procesos de contratación:
1) Licitación pública: 10
2) Selección abreviada de menor cuantía: 3
3) Subasta inversa: 2
4) Concurso de méritos: 10
5) Miníma cuantía: 11
6) Contratos interadministrativos: 2
7) Convenios interadministrativos: 2</t>
  </si>
  <si>
    <t>De acuerdo a lo informado por la Oficina de Contratacion del FDLE durante la vigencia 2017, se realizó el cumplimiento parcial de esta meta. Teniendo presente, que se han presentado dificultades tecnológicas.</t>
  </si>
  <si>
    <t>Cumplir en la Alcaldia Local con el 100% de las actividades dispuestas en el plan de acción de adopción de las NIC-SP según Resolución 693-2016 de la Contaduría General de la Nación</t>
  </si>
  <si>
    <t>Porcentaje de cumplimiento de las actividades dispuestas en el plan de acción NIC-SP</t>
  </si>
  <si>
    <t>(Porcentaje de cumplimiento de plan de acción de las NIC-SP 2017/Porcentaje de cumplimiento de plan de acción de las NIC-SP 2017 programado para la vigencia)*100</t>
  </si>
  <si>
    <t>Acciones del plan de acción de las NIC-SP 2017</t>
  </si>
  <si>
    <t>Actas de Comité de sostenibilidad contable</t>
  </si>
  <si>
    <t>Contador FDLE</t>
  </si>
  <si>
    <t>De acuerdo a lo informado mediante el memorando 20176020008023, durante el primer trimestre de 2017 se han realizado las siguientes acciones:
1. Para el ajuste de los procedimientos que exige el Nuevo Marco Normativo Contable en el primer trimestre de 2017, se han adelantado mesas de trabajo entre la Secretaría Distrital de Gobierno- Dirección de Tecnologías de la  Información-, y algunas localidades, en las que han participado activamente El almacenista y El contador.
2. Desde la vigencia 2016 y en los primeros meses del 2017, con el liderazgo de la Dirección Distrital de Contabilidad se han adelantado mesas de trabajo para actualizar el Manual de Política Contable que corresponderá aplicar en los FDL a partir del 1° de enero de 2018.
3. A la fecha se está ejecutando el contrato de prestación de servicios No.235 de 2016, cuyo objeto es “Prestar el servicio integral especializado en gestión de activos, realizar la toma física o inventario, verificación clasificación, actualización y peritazgo técnico de los bienes mueble e inmuebles propiedad del Fondo de Desarrollo Local de Engativá  - FDLE, y los entregados a terceros bajo la figura de comodato”, para establecer el saldo inicial de los bienes muebles e inmuebles, que dentro del Nuevo Marco Normativo se definen como propiedad planta y equipo, previo análisis de la Materialidad.
4. Acta de reunión e informe con el grupo del área de Almacén en la cual se evidencia el estado actual de ejecución del contrato de toma física de inventarios y el contrato de avalúos, necesarios para la preparación de los estados financieros. En ella se esbozan particularidades presentadas en su ejecución, se hacen recomendaciones sobre la preparación de las cuentas de propiedad, planta, equipo e inventarios, resaltando la importancia que reviste el tema para la implementación del NMNC.</t>
  </si>
  <si>
    <t>Anexos memorando 20176020008023 y archivo documental oficina de Contabilidad</t>
  </si>
  <si>
    <t>De acuerdo a lo informado por el Contador del FDLE mediante memorando 20176020013033, durante el II Trimestre se han realizado las siguientes acciones:
1. Se realizó convocatoria al comité técnico de sostenibilidad contable y de convergencia donde se destaco la importancia de la preparación e implementación del NMNC para entidades de gobierno general y se reitero la importancia de dar estricto cumplimiento con la aplicación de la Directiva 001 de 2017.
2. Actualización del plan de acción y cronograma de actividades para la preparación e implementación del NMNC, de conformidad con el cronograma definido por la Contaduría General de la Nación a través de la Resolución No.693 de 2016.
3. En atención al artículo 2° de la Resolución No.693 de 2016, se ha dado continuidad al proceso de depuración para la determinación de los saldos iniciales, según lo previsto en el instructivo 002 de 2015 emitido por la Contaduría General de la Nación.
4. Actas de los comités de convergencia y sostenibilidad contable  realizados el 25 de abril, 30 de mayo y 29 de junio de 2017.
5. Se expidieron las resoluciones 201 de 30 de mayo, 218 y 226 de junio de 2017, “por medio de la cual se aprueba la depuración extraordinaria de algunos saldos contables del Fondo de Desarrollo Local de Engativá”.
6. Para el ajuste de los procedimientos y actualización de la política contable se viene adelantando las mesas de trabajo que exige el Nuevo Marco Normativo Contable en el segundo trimestre de 2017, lideradas por la Oficina Asesora de Planeación.</t>
  </si>
  <si>
    <t>Anexos memorando 20176020013033 y archivo documental oficina de Contabilidad</t>
  </si>
  <si>
    <t>De acuerdo a lo informado 20176020021893 durante el III trimestre se han realizado las siguientes acciones: 1) Mensualmente se realiza convocatoria al comité técnico de sotenibilidad contable y de convergencia donde se destaca la importancia de la preparación e implementación del NMNC para entidades de gobierno general y se reitera la importancia de dar estricto cumplimiento con la aplicación de la Directiva 001 de 2017, lo cual se evidencia en las actas.
2) Encuesta de seguimiento al proceso de preparación para la implementación del marco normativo en las entidades de gobierno en cumplimiento de la carta circular 61 del 14 de eptiebre de 2017.
3) Actualización del plan y cronograma de actividades para la preparación e implementación del NMNC, de conformidad con el cronograma definido por la Contaduría General de la Nación a través de la Resolución No. 693 de 2016.
4) En atención al artículo 2° de la Resolución No. 693 ded 2016, se ha dado continuidad al proceso de depuración para la determinación de los saldos iniciales, según lo previsto en el instructivo 002 de 2015 emitido por la Contaduría General de la Nación.
5) Actas de los comités de convergencia y sostenibilidad contable realizados el 31 de julio, 28 de agosto y 29 de septiembre de 2017.
6) La Dirección Distrital de Contabilidad a conocer los lineamientos para la prueba de saldos iniciales, ejercicio que se debe realizar a partir de la matriz implementada para tal fin la cual se debe diligenciar para ser entregados el 20 de octubre de 2017 con base en la capacitación.
7) Se realizaron dos mesas de trabajo para subsanar las diferencias de las multas que se evidenciaron en las conciliaciones de cobro coactivo, persuasivo, cuentas de orden y expedientes devueltos de la Subdirección de Ejecuciones Fiscales, de las cuales se anexan las acats y se evidencia la reclasificación y ajustes en la contabilidad del Fondo de Desarrollo Local de Engativá.
8) Se realizaron las reclasificaciones y asjutes en el aplicativo Limay para generar las conciliaciones de cobro persuasivo, coactivo y cuentas de orden y expedientes devueltos de la Subdirección de Ejecuciones Fiscales.</t>
  </si>
  <si>
    <t>Archivo de gestión documental oficina de Contabilidad</t>
  </si>
  <si>
    <t>De acuerdo a lo reportado por la Oficina de Contabilidad del FDLE. Se ha cumplido en 100% las actividades del plan de acción de las NIC-SP.
Se remite un informe parcial. Teniendo presente que el Contador del FDLE se encuentra realizando el cierre de la vigencia 2017 el cual debe ser presentado el 15 de enero de 2018.</t>
  </si>
  <si>
    <t>Adquirir el 80% de los bienes de Características Técnicas Uniformes de Común Utilización a través del portal Colombia Compra Eficiente.</t>
  </si>
  <si>
    <t>Bienes con CTUCU adquiridos a través de Colombia Compra Eficiente</t>
  </si>
  <si>
    <t>(Valor de bienes con CTUCU adquiridos a través de Colombia compra Eficiente / Valor total de bienes con CTUCU adquiridos)*100</t>
  </si>
  <si>
    <t>Procesos contractuaales CTUCU</t>
  </si>
  <si>
    <t>SECOP I</t>
  </si>
  <si>
    <t>Alcalde Local
Comité de Contratación</t>
  </si>
  <si>
    <t>De acuerdo a lo informado por la  Oficina de Contratación del FDLE mediante radicado 20176020013623 durante el II trimestre no se adquirieron bienes de características técnicas a través del portal Colombia Compra Eficiente</t>
  </si>
  <si>
    <t>SECOP y base de datos contratación - Técnico Ludy Rojas</t>
  </si>
  <si>
    <t>De acuerdo a lo informado por la  Oficina de Contratación del FDLE mediante radicado 20176020021093 durante el III trimestre no se adquirieron bienes de características técnicas a través del portal Colombia Compra Eficiente</t>
  </si>
  <si>
    <t>De acuerdo a lo informado por la  Oficina de Contratación durante el IV trimestre no se adquirieron Bienes con CTUCU por medio de Acuerdos Marco ni otra modalidad con Colombia Compra Eficiente; De acuerdo a información reportada en el Portal Único de Contratación SECOP I, se adquirieron bienes con CTUCU, por medio de la modalidad de Subasta Inversa Presencial por un valor de SEISCIENTOS CINCUENTA Y DOS MILLONES OCHOCIENTOS DOS MIL SETECIENTOS VEINTE PESOS M/CTE ($ 652.802.720)</t>
  </si>
  <si>
    <t>Procesos publicados en SECOP I</t>
  </si>
  <si>
    <t>De acuerdo a lo informado por la Oficina de contración se ha relizado la adjudicación del 100% de los bienes de Características definidos en el PAA 2017</t>
  </si>
  <si>
    <t>Establecer la línea base de consumo de combustible y costos de mantenimiento de los vehículos oficiales livianos y pesados a cargo de la Alcaldía Local conforme a la herramienta suministrada por el nivel central</t>
  </si>
  <si>
    <t>Linea Base de consumo de combustible y costos de mantenimiento establecida</t>
  </si>
  <si>
    <t xml:space="preserve">Linea base de consumo de combustible y costos de mantenimiento de los vehiculos </t>
  </si>
  <si>
    <t>Línea base de consumo de combustible</t>
  </si>
  <si>
    <t>Matriz de seguimiento de mantenimiento de vehículos y consumo de combustible</t>
  </si>
  <si>
    <t>Almacén e Ings. De Infraestructura</t>
  </si>
  <si>
    <t>Esta meta no fue programada para el II trimestre de 2017</t>
  </si>
  <si>
    <t>El almacenista del FDLE ha remitido el instrumento diligenciado por cada uno de los vehículos de carros livianos y maquinaria amarilla.</t>
  </si>
  <si>
    <t>Instrumento diligenciado</t>
  </si>
  <si>
    <t>Durante el 2017 los apoyos a la supervisión de los contratos de mantenimiento de vehículos y combustible han diligenciado el instrumento por cada uno de los vehículos propiedad del FDLE.</t>
  </si>
  <si>
    <t>Aplicar el 100% de los lineamientos establecidos en la Directiva 12 de 2016 del Alcalde Mayor sobre contratación.</t>
  </si>
  <si>
    <t>Porcentaje de aplicación de los lineamientos establecidos en la Directiva 12 de 2016</t>
  </si>
  <si>
    <t>(Número de procesos de contratación de recursos de los FDL enviados a revisión, asesoría y con solicitud de asistencia técnica (procesos nuevos y modificaciones contractuales) / Número de procesos de contratación que cumplen con los criterios de la Directiva 12 de 2016) x 100</t>
  </si>
  <si>
    <t>Número de procesos contractuales</t>
  </si>
  <si>
    <t>Memorandos de remisión de procesos precontractuales</t>
  </si>
  <si>
    <t>Coordinador Area para el Desarrollo Local - Profesional de Planeación del FDLE</t>
  </si>
  <si>
    <t>De acuerdo a lo informado por el profesional especializaso 222-24 mediante radicado 20176020013603 durante el II Trimestre se enviaron los siguientes procesos:
1) 28 Procesos para contratación de servicios profesionales y de apoyo. No hay. Tema: IVC
2) 23 Procesos para contratación de servicios profesionales y de apoyo.  Certificados con NO HAY. Tema: Malla vial y espacio público
3) Radicado No. 201760200039113 del 9 de mayo de 2017 adición contrato 223 de 2016.
4) Radicado No.20176020010693, 31 de mayo de 2017, embellecimiento del espacio público
5) Radicado No.20176020011493 del 15 de Junio adición CO 151 de 2015
6) 1 Procesos para contratación de servicios profesionales.  Certificados con NO HAY. Tema: Parques
7) 3 Procesos para contratación de servicios profesionales y de apoyo.  Certificados con NO HAY. Tema: Seguridad y convivencia</t>
  </si>
  <si>
    <t>Memorando: 20176020013603</t>
  </si>
  <si>
    <t>De acuerdo a lo informado por el profesional universistario 219 - 19 mediante radicado 20176020022073 durante el III Trimestre se enviaron los siguientes procesos:
1) 10 Procesos para contratación de servicios profesionales y de apoyo. No hay. Tema: IVC
2) 6 procesos para la contratación de servicios de apoyo logístico . No hay. Tema: Malla vial y espacio público
3) 6 procesos enviados al IDU y a la Secretaria Distrital de Gobierno. Tema: malla vial y espacio público
4) 1 proceso enviado al IDRD. Tema: parques
5) 1 proceso enviado a la Secretaria Distrital de Seguridad y Convivencia. Tema: Seguridad y Convivencia
6) 1 proceso enviado a la Secretaria Distrital de la Mujer y a la Secretaria Distrital de Gobierno. Tema: SOFIA
7)  1 proceso enviado al IDPAC. Tema: Salones comunales</t>
  </si>
  <si>
    <t>Memorando 20176020022073</t>
  </si>
  <si>
    <t>Se remite un avance parcial, puesto que el AGDL se encuentra consolidando la información correspondiente.</t>
  </si>
  <si>
    <t>Dando cumplimiento a la Directiva 12 de 2016, se han remitido a la Dirección de Talento Humano las siguientes solicitudes:
1. Inspección vigilancia y control  - 62 procesos para contratación de servicios
2. Malla vial - 6 procesos
3. Parques - 2 procesos
4. Seguridad y convivencia - 2 procesos</t>
  </si>
  <si>
    <t>Memorando 20176020008203</t>
  </si>
  <si>
    <t>SERVICIO A LA CIUDADANIA</t>
  </si>
  <si>
    <t>Implementar un punto de aplicación de la Encuesta de Percepción del Servicio, como cumplimiento a los lineamientos contenidos en la Circular 014 de 2016.</t>
  </si>
  <si>
    <t>Puntos de aplicación de la encuesta de percepción del servicio, implamentados</t>
  </si>
  <si>
    <t>Número de puntos de aplicación de la Encuesta de Percepción del Servicio implementados.</t>
  </si>
  <si>
    <t>Punto de aplicación de la cuesta</t>
  </si>
  <si>
    <t xml:space="preserve">Punto de aplicación de la encuesta </t>
  </si>
  <si>
    <t>Coordinador del área del Desarrollo Local</t>
  </si>
  <si>
    <t>El punto de aplicación de la encusta de percepción del servicio se encuentra ubicado en el primer piso de la Alcaldía Local, en la Oficina de atención al ciudadano.</t>
  </si>
  <si>
    <t>Esta meta no fue programada para el III trimestre de 2017</t>
  </si>
  <si>
    <t>A partir del I Trimestre de 2017 se implementó el punto de aplicación de la encuesta de percepción del servicio, el cual se enuentra ubicado a la entrada de la Alcaldía Local.</t>
  </si>
  <si>
    <t>GESTIÓN DEL PATRIMONIO DOCUMENTAL</t>
  </si>
  <si>
    <t>Realizar cuatro (4) jornadas de sensibilización sobre las buenas prácticas de gestión documental emitidas por el nivel central, a por lo menos el 80% de los funcionarios y contratistas vinculados o a la alcaldía local a la fecha en que se realice.</t>
  </si>
  <si>
    <t>Jornadas de sensbilización sobre las buenas practicas de gestión documental realizadas</t>
  </si>
  <si>
    <t>Sumatoria de jornadas de sensibilización sobre las buenas practicas de gestión documental</t>
  </si>
  <si>
    <t>Jornadas de sensibilización</t>
  </si>
  <si>
    <t>Actas de capacitación</t>
  </si>
  <si>
    <t>Referente de Gestión Documental</t>
  </si>
  <si>
    <t>Esta meta presenta una programación de 2 jornadas de sensibilización, la cual no se ha podido cumplir teniendo presente que mediante el memorando 20176020010463 se ha solicitado el documento de buenas prácticas de gestión documental el cual será base para cumplir la meta propuesta.</t>
  </si>
  <si>
    <t xml:space="preserve">Memorando 20176020010463 </t>
  </si>
  <si>
    <t>El documento GDI-GPD-IN001 y nombrado como “Instrucciones de buenas prácticas para Gestión Documental” versión 1, tiene vigencia del 1 de septiembre de 2017 motivo por el cual las jornadas de sensibilización se inician posterior a esa fecha. Las fechas en las cuales se realizaron:
1° Jornada de sensibilización: 18 de septiembre de 2017
2° Jornada de sensibilización: 9 de noviembre de 2017
3° Jornada de sensibilización: 29 de noviembre de 2017</t>
  </si>
  <si>
    <t>Actas de capacitación - Carpeta Capacitaciones 2017</t>
  </si>
  <si>
    <t>Durante el 2017 se solicitó en varias ocasiones el instructivo de buenas práctias de gestión documental, con el fin de socializarlo a la mayor cantidad de servidores públicos que se encuentran desarrollando sus actividades en la Alcaldía Local, el cual fue publicado en el proceso de patrimonio documental en el mes de septiembre de 2017, al cual el profesional de Gestión Documental realizó observaciones, teniendo presente lo establecido en los demás instructivos. Sin embargo, se realizaron 3 jornadas de sensibilización, de acuerdo a la disponibilidad de los equipos de trabajo.</t>
  </si>
  <si>
    <t>Cumplir con el 100% de las buenas prácticas de gestión documental emitidas por el nivel central, en la muestra tomada por parte de los técnicos, en las sesiones de inspección a la gestión documental de la alcaldía local</t>
  </si>
  <si>
    <t>Porcentaje de cumplimiento a las buenas practicas de gestión documental</t>
  </si>
  <si>
    <t>% de cumplimiento de las buenas practicas de gestión documental emitidas por el nivel central</t>
  </si>
  <si>
    <t>Acciones del Plan de Gestión Documental</t>
  </si>
  <si>
    <t>Actas de revisión del Plan de Gestión Documental</t>
  </si>
  <si>
    <t>Se ha solicitado mediante el memorando 20176020010463 el documento de buenas prácticas de gestión documental el cual será base para cumplir la meta propuesta.</t>
  </si>
  <si>
    <t>Durante la vigencia no se recibió visita por el área de gestión documental de nivel central</t>
  </si>
  <si>
    <t>Durante la vigencia no se recibió visita por el área de gestión documental de nivel central en la cual se haya realizaco la inspección a la Alcaldía Local</t>
  </si>
  <si>
    <t>Realizar un (1) inventario del archivo de gestión de la Alcaldía local, de acuerdo a los parámetros de la herramienta FUID vigente</t>
  </si>
  <si>
    <t>Inventario de gestión realizado</t>
  </si>
  <si>
    <t>Numero de inventario de archivo gestión de la alcaldia local realizado</t>
  </si>
  <si>
    <t>Inventario de archivo de gestión</t>
  </si>
  <si>
    <t>EFECTIVIDAD</t>
  </si>
  <si>
    <t>Inventario de archivo</t>
  </si>
  <si>
    <t>Se anexan los formatos de inventario documental realizados por algunas dependencias.</t>
  </si>
  <si>
    <t>Formatos Inventario Documental</t>
  </si>
  <si>
    <t>Durante el año 2017 la Oficina de Gestión Documental, realizó capacitaciones a los auxiliares y técnicos de las áreas en el diligenciamiento de la herramieta FUID, producto de ello se realizó el inventario del archivo de gestión de la Alcaldía Local.</t>
  </si>
  <si>
    <t xml:space="preserve">GERENCIA DE TI
</t>
  </si>
  <si>
    <t>Implementar en la Alcaldía Local el 100% de los lineamientos de gestión de las TIC impartidos por la DTI del Nivel Central</t>
  </si>
  <si>
    <t>Lineamientos de Gestión de la TIC implementados en la alcaldia local</t>
  </si>
  <si>
    <t>(No. De lineamientos de la DTI implementados en la Alcaldía Local en la vigencia 2017/No. De lineamientos de la DTI impartidos por la DTI en 2017)*100</t>
  </si>
  <si>
    <t>Lineamientos</t>
  </si>
  <si>
    <t>Informes - Oficina de Sistemas</t>
  </si>
  <si>
    <t>Administrador de Red y equipo de trabajo</t>
  </si>
  <si>
    <t>Esta meta no fue programada para el segundo trimestre de 2017</t>
  </si>
  <si>
    <t>De acuerdo a lo informado por la Oficina de Sistemas, mediante el radicado 20176020031963 de los 11 numerales que hace mención la Dirección de Tecnologías e Información en el radicado 20174400171783, se ha dado cumplimiento así:
1) Asignar los recursos humanos, técnicos y financieros necesarios para garantizar el funcionamiento eficiente de la infraestructura tecnológica: 100%
2) Garantizar que el 100% de los equipos de propiedad del FDLE y de la SDG estén vinculados a la red y dominio de nicel central: 100%
3) Disminuir en un 10% anual y hasta el 0% el nivel de obsolescencia de equipos de cómputo: 50%
4) Garantizar el uso y apropiación de los sistemas de información implementados por la Dirección de Tecnologías e Información: 95%
5) Garantizar el servicio de mantenimiento preventivo y correctivo de la infraestructura tecnológica (equipos de cómputo, red eléctrica, cableado estructurado, UPS, aires acondicionados, servidores, equipos activos de red, sistemas de detección y extinción de incendios, sistemas de control de acceso, firewall, conectividad y redes LAN e inalámbrica): Adjudicado CPS No. 247 - 2017 - 100%
6) Garantizar que el 100% de sofrware instalado en los equipos de cómputo esté debidamente licenciado: FDL-SASIP-211-2017  100%
7) Garantizar que el 100% de todos los equipos de cómputo tengan instalado y actualizado el cliente de antivirus oficial definido por la DTI: 100%
8) Mantener al día todas las solicitudes de requerimientos relacionados con recursos tecnológicos (sistemas de información, redes, servidores, conectividad, especificaciones técnicas) asignados por la plataforma de servicios tecnológicos: 100%
9) Apoyarse en las fichas técnicas sugeridas por la DTI como soporte técnico para adquisición de elementos tecnológicos: FDL-SASIP-211-2017
10) Remitir a la DTI los anexos técnicos  de adquisiciones de componentes tecnológicos para la aprobación respectiva: 0%
11) Cumplir con los lineamientos descritos en el Manual de políticas de uso de componentes tecnológicos definidos por la DTI de la SDG: 100%</t>
  </si>
  <si>
    <t>Las evidencias y soportes del cumplimiento de los lineamientos y acciones desarrolladas se pueden verificar en la bitácora y planillas que reposan en la Oficina de sistemas y así mismo se puede consultar en los registros que se tienen en la oficina de sistemas y suben al Programa Local de GLPI implementado por el Administrador de la Red y/o en la herramienta GLPI que proporciona gobierno central para reportar los casos a la mesa de servicio en la secretaria de gobierno.</t>
  </si>
  <si>
    <t>Durante la vigencia 2017 se realizó un monitoreo constante de las metas del plan de gestión a cargo de la oficina de sistemas de la Alcaldía. Sin embargo, en el último reporte se evidencia que producto de las gestiones realizadas se cumple parcialmente varios de los lineamientos indicados por la Dirección de Tecnologías de nivel central.</t>
  </si>
  <si>
    <t>Integrar las herramientas de planeación, gestión y control, con enfoque de innovación, mejoramiento continuo, responsabilidad social, desarrollo integral del talento humano y transparencia</t>
  </si>
  <si>
    <t>TRANSVERSALES</t>
  </si>
  <si>
    <t>Establecer la linea base del consumo de papel del proceso durante la vigencia 2017</t>
  </si>
  <si>
    <t>SOSTENIBILIDAD DEL SISTEMA DE GESTIÓN</t>
  </si>
  <si>
    <t>Linea base del consumo de papel del proceso establecida</t>
  </si>
  <si>
    <t>Linea base del consumo de papel del proceso</t>
  </si>
  <si>
    <t>Consumo de papel 2017</t>
  </si>
  <si>
    <t>No aplica para este trimestre, toda vez que está programada para ser ejecutada con posterioridad</t>
  </si>
  <si>
    <t>Establecer linea base del perfil de riesgo del proceso aplicando metodologia del manual de gestión del riesgo 1D-PGE-M4</t>
  </si>
  <si>
    <t>SOTENIBILIDAD DEL SISTEMA DE GESTIÓN</t>
  </si>
  <si>
    <t>Línea base del perfil del riesgo</t>
  </si>
  <si>
    <t>Linea Base Perfil del Riesgo</t>
  </si>
  <si>
    <t>Reportes Gestión del Riesgo</t>
  </si>
  <si>
    <t>Promotor de Mejoramiento</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</si>
  <si>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</si>
  <si>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</si>
  <si>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</si>
  <si>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Acciones Correctivas Actualizadas y Documentadas</t>
  </si>
  <si>
    <t>Aplicativo SIG MEJORA</t>
  </si>
  <si>
    <t>Corresponde al promedio entre el nivel de cumplimiento de planes de mejora SIG (82%) y plan de mejora contraloría remitido (69%)</t>
  </si>
  <si>
    <t>Cuenta con 16 planes de mejora SIG que contienen 216 acciones correctivas, de ellas 48 se encuentran vencidas. Respecto a planes de mejora con contraloría contienen 35 acciones correctivas, de ellas 11 se encuentran vencidas</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</si>
  <si>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</si>
  <si>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</si>
  <si>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gestion de la entidad)*100</t>
  </si>
  <si>
    <t>Reportes de Riesgos y Servicio No Conforme</t>
  </si>
  <si>
    <t>La Alcaldía Local de Engativá  cumplió con el reporte de riesgos y servicio no conforme correspoondiente al segundo triemstre según plazos establecidos</t>
  </si>
  <si>
    <t>La Alcaldía Local de Engativá  cumplió con el reporte de riesgos aunque NO reportó servicio no conforme correspoondiente al tercer triemstre según plazos establecidos</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</si>
  <si>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</si>
  <si>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</si>
  <si>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gestion de la entidad)*100</t>
  </si>
  <si>
    <t>Asistencia a mesas de trabajo, comites o instancias de desición</t>
  </si>
  <si>
    <t>Actas
Memorandos
Correos</t>
  </si>
  <si>
    <t>De 15 mesas convocadas, no asistió a 2</t>
  </si>
  <si>
    <t>De 8 mesas convocadas,  asistió a todas</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</si>
  <si>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</si>
  <si>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</si>
  <si>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</si>
  <si>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</si>
  <si>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Actas</t>
  </si>
  <si>
    <t>El porcentaje corresponde al avance en la actualización del proceso Gestión Pública Territorial local en el cual participa la localidad según distribución comunicada en marzo. A 30 de junio  el avance en la caracterización de proceso (90%),  matriz de riesgos (80%) y un avance del 25% en la actualización de la demas documetación</t>
  </si>
  <si>
    <t>El porcentaje corresponde al avance en la actualización del proceso Gestión Pública Territorial local en el cual participa la localidad según distribución comunicada en marzo. A 30 de septiembre el avance en la caracterización de proceso (90%),  matriz de riesgos (95%) y un avance del 38% en la actualización de la demas documetación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</si>
  <si>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</si>
  <si>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</si>
  <si>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(No. De acciones del plan anticorrupción cumplidas en el trimestre/No. De acciones del plan antocorrupción formuladas para el trimestre en la versión vigente del plan anticorrupción)*100</t>
  </si>
  <si>
    <t>Actividades Cumplidas del Plan Anticorrupción</t>
  </si>
  <si>
    <t>Seguimiento Plan Anticorrupción</t>
  </si>
  <si>
    <t>Observatorio Local
Defensor al Ciudadano</t>
  </si>
  <si>
    <t>Corresponde al monitoreo efectuado con corte a junio por la OAP sobre los compromisos de l PAAC en la versión 3</t>
  </si>
  <si>
    <t>Corresponde al monitoreo efectuado con corte a septiembre por la OAP sobre los compromisos del PAAC en la versión 4</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</si>
  <si>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</si>
  <si>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</si>
  <si>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</si>
  <si>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</si>
  <si>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</si>
  <si>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</si>
  <si>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</si>
  <si>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</si>
  <si>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</si>
  <si>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</si>
  <si>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</si>
  <si>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</si>
  <si>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</si>
  <si>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 xml:space="preserve">FAVOR RELACIONAR LOS CODIGOS Y NOMBRES DE LOS PROYECTOS DE INVERSIÓN DE SU ALCALDIA </t>
  </si>
  <si>
    <t>RUBROSFUNCIONAMIENTO</t>
  </si>
  <si>
    <t>SIG</t>
  </si>
  <si>
    <t>PROGRAMACION</t>
  </si>
  <si>
    <t>INDICADOR</t>
  </si>
  <si>
    <t>ADQUISICION DE BIENES</t>
  </si>
  <si>
    <t>GASTOS DE FUNCIONAMIENTO</t>
  </si>
  <si>
    <t>ADQUISICION DE SERVICIOS</t>
  </si>
  <si>
    <t>GASTOS DE INVERSION</t>
  </si>
  <si>
    <t>SERVICIOS PUBLICOS</t>
  </si>
  <si>
    <t>GASTOS GENERALES</t>
  </si>
  <si>
    <t>DECRECIENTE</t>
  </si>
  <si>
    <t>SERVICIOS PERSONALES</t>
  </si>
  <si>
    <t>MEDICIONFINAL</t>
  </si>
  <si>
    <t>CONTRALORIA</t>
  </si>
  <si>
    <t>OTROS GASTOS GENERALES</t>
  </si>
  <si>
    <t>MENSUAL</t>
  </si>
  <si>
    <t>TRIMESTRAL</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</si>
  <si>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</si>
  <si>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</si>
  <si>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</si>
  <si>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</si>
  <si>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</si>
  <si>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</si>
  <si>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</si>
  <si>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</si>
  <si>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</si>
  <si>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</si>
  <si>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</si>
  <si>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</si>
  <si>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</si>
  <si>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</si>
  <si>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</si>
  <si>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</si>
  <si>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</si>
  <si>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</si>
  <si>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</si>
  <si>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</si>
  <si>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</si>
  <si>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</si>
  <si>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</si>
  <si>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</si>
  <si>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</si>
  <si>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</si>
  <si>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</si>
  <si>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</si>
  <si>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</si>
  <si>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</si>
  <si>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</si>
  <si>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</si>
  <si>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</si>
  <si>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</si>
  <si>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</si>
  <si>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</si>
  <si>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</si>
  <si>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</si>
  <si>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</si>
  <si>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</si>
  <si>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</si>
  <si>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</si>
  <si>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</si>
  <si>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</si>
  <si>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</si>
  <si>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</si>
  <si>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</si>
  <si>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</si>
  <si>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</si>
  <si>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</si>
  <si>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</si>
  <si>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</si>
  <si>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</si>
  <si>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</si>
  <si>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</si>
  <si>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Informe base planes de mejoramiento</t>
  </si>
  <si>
    <t>La Alcaldía Local de Engativa reportó el 50% del consumo de papel para la vigencia 2017</t>
  </si>
  <si>
    <t>El proceso de gestión pública territorial local  cuenta con matriz de riesgos publicada en la intranet.</t>
  </si>
  <si>
    <t>En la intranet se cuenta con la matriz de riesgos de la Gestión Pública Territorial Local</t>
  </si>
  <si>
    <t>Para el presente trimestre no se realizaron mesas de trabajo</t>
  </si>
  <si>
    <t>Se realizó actualización documental  por normalización según circular 006</t>
  </si>
  <si>
    <t>La alcaldía local de Ciudad de Engativa realizó las actividades y productos contemplados en el Plan Anticorrupción y de atención a la ciudadanía para la vigencia 2017</t>
  </si>
  <si>
    <t>La Alcaldía local de Engativa tiene un nivel de vencimiento de las acciones correctivas (planes de mejoramiento interno) del 26%, es decir un 74% de las acciones de mejora  se encuentran documentadas y vigentes, por otra parte respecto a los planes de mejoramiento externos (contraloria) se reporta un nivel de vencimiento de las acciones correctivas del 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</si>
</sst>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_);_(* \(#,##0\);_(* &quot;-&quot;??_);_(@_)"/>
    <numFmt numFmtId="166" formatCode="[$$-240A]\ #,##0.00"/>
    <numFmt numFmtId="167" formatCode="* #,##0.00&quot;    &quot;;\-* #,##0.00&quot;    &quot;;* \-#&quot;    &quot;;@\ "/>
    <numFmt numFmtId="168" formatCode="0.0%"/>
  </numFmts>
  <fonts count="56">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0"/>
      <color indexed="81"/>
      <name val="Tahoma"/>
      <family val="2"/>
    </font>
    <font>
      <b/>
      <sz val="22"/>
      <color indexed="81"/>
      <name val="Tahoma"/>
      <family val="2"/>
    </font>
    <font>
      <b/>
      <sz val="11"/>
      <name val="Arial"/>
      <family val="2"/>
    </font>
    <font>
      <b/>
      <sz val="12"/>
      <name val="Arial"/>
      <family val="2"/>
    </font>
    <font>
      <b/>
      <sz val="22"/>
      <name val="Arial"/>
      <family val="2"/>
    </font>
    <font>
      <sz val="11"/>
      <color indexed="10"/>
      <name val="Calibri"/>
      <family val="2"/>
    </font>
    <font>
      <b/>
      <sz val="14"/>
      <name val="Arial"/>
      <family val="2"/>
    </font>
    <font>
      <b/>
      <sz val="11"/>
      <color indexed="81"/>
      <name val="Tahoma"/>
      <family val="2"/>
    </font>
    <font>
      <sz val="14"/>
      <name val="Arial"/>
      <family val="2"/>
    </font>
    <font>
      <sz val="11"/>
      <name val="Arial"/>
      <family val="2"/>
    </font>
    <font>
      <sz val="12"/>
      <name val="Arial Narrow"/>
      <family val="2"/>
    </font>
    <font>
      <b/>
      <sz val="28"/>
      <color indexed="81"/>
      <name val="Tahoma"/>
      <family val="2"/>
    </font>
    <font>
      <b/>
      <sz val="18"/>
      <color indexed="81"/>
      <name val="Tahoma"/>
      <family val="2"/>
    </font>
    <font>
      <b/>
      <sz val="10"/>
      <color indexed="81"/>
      <name val="Tahoma"/>
      <family val="2"/>
    </font>
    <font>
      <b/>
      <sz val="14"/>
      <color indexed="81"/>
      <name val="Tahoma"/>
      <family val="2"/>
    </font>
    <font>
      <b/>
      <sz val="9"/>
      <color indexed="81"/>
      <name val="Tahoma"/>
      <family val="2"/>
    </font>
    <font>
      <sz val="12"/>
      <color indexed="8"/>
      <name val="Arial"/>
      <family val="2"/>
    </font>
    <font>
      <sz val="12"/>
      <color indexed="10"/>
      <name val="Arial"/>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2"/>
      <color theme="1"/>
      <name val="Calibri"/>
      <family val="2"/>
      <scheme val="minor"/>
    </font>
    <font>
      <b/>
      <sz val="12"/>
      <color theme="0"/>
      <name val="Calibri"/>
      <family val="2"/>
      <scheme val="minor"/>
    </font>
    <font>
      <sz val="12"/>
      <color theme="0"/>
      <name val="Calibri"/>
      <family val="2"/>
      <scheme val="minor"/>
    </font>
    <font>
      <b/>
      <sz val="10"/>
      <color theme="1"/>
      <name val="Arial"/>
      <family val="2"/>
    </font>
    <font>
      <sz val="11"/>
      <name val="Calibri"/>
      <family val="2"/>
      <scheme val="minor"/>
    </font>
    <font>
      <b/>
      <sz val="28"/>
      <color theme="1"/>
      <name val="Arial"/>
      <family val="2"/>
    </font>
    <font>
      <sz val="10"/>
      <color theme="1"/>
      <name val="Agency FB"/>
      <family val="2"/>
    </font>
    <font>
      <b/>
      <sz val="14"/>
      <color theme="1"/>
      <name val="Arial"/>
      <family val="2"/>
    </font>
    <font>
      <b/>
      <sz val="14"/>
      <name val="Calibri"/>
      <family val="2"/>
      <scheme val="minor"/>
    </font>
    <font>
      <b/>
      <sz val="14"/>
      <color theme="1"/>
      <name val="Arial "/>
    </font>
    <font>
      <b/>
      <sz val="14"/>
      <color theme="0"/>
      <name val="Arial"/>
      <family val="2"/>
    </font>
    <font>
      <b/>
      <sz val="14"/>
      <color theme="0"/>
      <name val="Calibri"/>
      <family val="2"/>
      <scheme val="minor"/>
    </font>
    <font>
      <b/>
      <sz val="14"/>
      <color theme="1"/>
      <name val="Calibri"/>
      <family val="2"/>
      <scheme val="minor"/>
    </font>
    <font>
      <sz val="10"/>
      <color rgb="FFFF0000"/>
      <name val="Arial"/>
      <family val="2"/>
    </font>
    <font>
      <b/>
      <sz val="11"/>
      <color theme="1"/>
      <name val="Arial"/>
      <family val="2"/>
    </font>
    <font>
      <b/>
      <sz val="26"/>
      <color theme="1"/>
      <name val="Arial"/>
      <family val="2"/>
    </font>
    <font>
      <b/>
      <sz val="20"/>
      <color theme="1"/>
      <name val="Arial"/>
      <family val="2"/>
    </font>
    <font>
      <b/>
      <sz val="18"/>
      <color theme="1"/>
      <name val="Calibri"/>
      <family val="2"/>
      <scheme val="minor"/>
    </font>
    <font>
      <sz val="12"/>
      <name val="Arial"/>
      <family val="2"/>
    </font>
  </fonts>
  <fills count="3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theme="7" tint="0.39997558519241921"/>
        <bgColor indexed="64"/>
      </patternFill>
    </fill>
    <fill>
      <patternFill patternType="solid">
        <fgColor rgb="FF9CB5CC"/>
        <bgColor indexed="64"/>
      </patternFill>
    </fill>
    <fill>
      <patternFill patternType="solid">
        <fgColor theme="2" tint="-0.749992370372631"/>
        <bgColor indexed="64"/>
      </patternFill>
    </fill>
    <fill>
      <patternFill patternType="solid">
        <fgColor theme="5" tint="-0.499984740745262"/>
        <bgColor indexed="64"/>
      </patternFill>
    </fill>
    <fill>
      <patternFill patternType="solid">
        <fgColor rgb="FF6BFD91"/>
        <bgColor indexed="64"/>
      </patternFill>
    </fill>
    <fill>
      <patternFill patternType="solid">
        <fgColor rgb="FF93F985"/>
        <bgColor indexed="64"/>
      </patternFill>
    </fill>
    <fill>
      <patternFill patternType="solid">
        <fgColor rgb="FFFFC000"/>
        <bgColor indexed="64"/>
      </patternFill>
    </fill>
    <fill>
      <patternFill patternType="solid">
        <fgColor theme="9"/>
        <bgColor indexed="64"/>
      </patternFill>
    </fill>
    <fill>
      <patternFill patternType="solid">
        <fgColor theme="4" tint="0.39997558519241921"/>
        <bgColor indexed="64"/>
      </patternFill>
    </fill>
  </fills>
  <borders count="6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164" fontId="28" fillId="0" borderId="0" applyFont="0" applyFill="0" applyBorder="0" applyAlignment="0" applyProtection="0"/>
    <xf numFmtId="167" fontId="2" fillId="0" borderId="0" applyFill="0" applyBorder="0" applyAlignment="0" applyProtection="0"/>
    <xf numFmtId="0" fontId="2" fillId="0" borderId="0"/>
    <xf numFmtId="9" fontId="28"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445">
    <xf numFmtId="0" fontId="0" fillId="0" borderId="0" xfId="0"/>
    <xf numFmtId="0" fontId="30" fillId="5" borderId="0" xfId="0" applyFont="1" applyFill="1"/>
    <xf numFmtId="0" fontId="2" fillId="5" borderId="1" xfId="0" applyFont="1" applyFill="1" applyBorder="1" applyAlignment="1">
      <alignment horizontal="left" vertical="center" wrapText="1"/>
    </xf>
    <xf numFmtId="0" fontId="2" fillId="5" borderId="0" xfId="0" applyFont="1" applyFill="1" applyBorder="1" applyAlignment="1">
      <alignment horizontal="left" vertical="center" wrapText="1"/>
    </xf>
    <xf numFmtId="0" fontId="30" fillId="5" borderId="0" xfId="0" applyFont="1" applyFill="1" applyAlignment="1">
      <alignment horizontal="center"/>
    </xf>
    <xf numFmtId="0" fontId="1" fillId="6"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31" fillId="5" borderId="0" xfId="0" applyFont="1" applyFill="1" applyBorder="1" applyAlignment="1">
      <alignment vertical="center" wrapText="1"/>
    </xf>
    <xf numFmtId="0" fontId="31" fillId="5" borderId="0" xfId="0" applyFont="1" applyFill="1"/>
    <xf numFmtId="0" fontId="30" fillId="5" borderId="0" xfId="0" applyFont="1" applyFill="1" applyAlignment="1">
      <alignment vertical="top" wrapText="1"/>
    </xf>
    <xf numFmtId="0" fontId="32" fillId="5" borderId="0" xfId="0" applyFont="1" applyFill="1" applyBorder="1" applyAlignment="1">
      <alignment vertical="center"/>
    </xf>
    <xf numFmtId="0" fontId="30" fillId="5" borderId="0" xfId="0" applyFont="1" applyFill="1" applyBorder="1"/>
    <xf numFmtId="0" fontId="31" fillId="5" borderId="2" xfId="0" applyFont="1" applyFill="1" applyBorder="1" applyAlignment="1">
      <alignment horizontal="center" vertical="center" wrapText="1"/>
    </xf>
    <xf numFmtId="0" fontId="33" fillId="0" borderId="4" xfId="0" applyFont="1" applyFill="1" applyBorder="1" applyAlignment="1">
      <alignment horizontal="justify" vertical="center" wrapText="1"/>
    </xf>
    <xf numFmtId="0" fontId="33" fillId="0" borderId="2" xfId="0" applyFont="1" applyFill="1" applyBorder="1" applyAlignment="1">
      <alignment horizontal="center" vertical="center" wrapText="1"/>
    </xf>
    <xf numFmtId="0" fontId="0" fillId="0" borderId="0" xfId="0" applyAlignment="1">
      <alignment wrapText="1"/>
    </xf>
    <xf numFmtId="0" fontId="33" fillId="0" borderId="5" xfId="0" applyFont="1" applyFill="1" applyBorder="1" applyAlignment="1">
      <alignment horizontal="justify" vertical="center" wrapText="1"/>
    </xf>
    <xf numFmtId="0" fontId="33" fillId="0" borderId="2" xfId="0" applyFont="1" applyFill="1" applyBorder="1" applyAlignment="1">
      <alignment horizontal="justify" vertical="center" wrapText="1"/>
    </xf>
    <xf numFmtId="0" fontId="33" fillId="0" borderId="6" xfId="0" applyFont="1" applyFill="1" applyBorder="1" applyAlignment="1">
      <alignment horizontal="justify" vertical="center" wrapText="1"/>
    </xf>
    <xf numFmtId="0" fontId="33" fillId="0" borderId="7" xfId="0" applyFont="1" applyFill="1" applyBorder="1" applyAlignment="1">
      <alignment horizontal="justify" vertical="center" wrapText="1"/>
    </xf>
    <xf numFmtId="0" fontId="33"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5" borderId="0" xfId="0" applyFont="1" applyFill="1" applyBorder="1" applyAlignment="1">
      <alignment horizontal="center"/>
    </xf>
    <xf numFmtId="0" fontId="34" fillId="0" borderId="0" xfId="0" applyFont="1" applyAlignment="1">
      <alignment horizontal="justify"/>
    </xf>
    <xf numFmtId="0" fontId="35" fillId="8" borderId="8" xfId="0" applyFont="1" applyFill="1" applyBorder="1" applyAlignment="1">
      <alignment horizontal="justify" vertical="center" wrapText="1"/>
    </xf>
    <xf numFmtId="0" fontId="35" fillId="5" borderId="8"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justify" vertical="center" wrapText="1"/>
    </xf>
    <xf numFmtId="0" fontId="35" fillId="9" borderId="8" xfId="0" applyFont="1" applyFill="1" applyBorder="1" applyAlignment="1">
      <alignment horizontal="justify" vertical="center" wrapText="1"/>
    </xf>
    <xf numFmtId="0" fontId="35" fillId="9" borderId="9" xfId="0" applyFont="1" applyFill="1" applyBorder="1" applyAlignment="1">
      <alignment horizontal="justify" vertical="center" wrapText="1"/>
    </xf>
    <xf numFmtId="0" fontId="7" fillId="10" borderId="10" xfId="0" applyFont="1" applyFill="1" applyBorder="1" applyAlignment="1">
      <alignment horizontal="justify" vertical="center" wrapText="1"/>
    </xf>
    <xf numFmtId="0" fontId="7" fillId="10" borderId="8" xfId="0" applyFont="1" applyFill="1" applyBorder="1" applyAlignment="1">
      <alignment horizontal="justify" vertical="center" wrapText="1"/>
    </xf>
    <xf numFmtId="0" fontId="7" fillId="11" borderId="2"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35" fillId="12" borderId="11" xfId="0" applyFont="1" applyFill="1" applyBorder="1" applyAlignment="1">
      <alignment horizontal="justify" vertical="center" wrapText="1"/>
    </xf>
    <xf numFmtId="0" fontId="35" fillId="12" borderId="8" xfId="0" applyFont="1" applyFill="1" applyBorder="1" applyAlignment="1">
      <alignment horizontal="justify" vertical="center" wrapText="1"/>
    </xf>
    <xf numFmtId="0" fontId="7" fillId="12" borderId="2" xfId="0" applyFont="1" applyFill="1" applyBorder="1" applyAlignment="1">
      <alignment vertical="center" wrapText="1"/>
    </xf>
    <xf numFmtId="0" fontId="35" fillId="13" borderId="10" xfId="0" applyFont="1" applyFill="1" applyBorder="1" applyAlignment="1">
      <alignment horizontal="justify" vertical="center" wrapText="1"/>
    </xf>
    <xf numFmtId="0" fontId="35" fillId="13"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36" fillId="13" borderId="8" xfId="0" applyFont="1" applyFill="1" applyBorder="1" applyAlignment="1">
      <alignment horizontal="justify" vertical="center" wrapText="1"/>
    </xf>
    <xf numFmtId="0" fontId="35" fillId="13" borderId="12" xfId="0" applyFont="1" applyFill="1" applyBorder="1" applyAlignment="1">
      <alignment horizontal="left" vertical="center" wrapText="1"/>
    </xf>
    <xf numFmtId="0" fontId="35" fillId="13" borderId="9" xfId="0" applyFont="1" applyFill="1" applyBorder="1" applyAlignment="1">
      <alignment horizontal="justify" vertical="center" wrapText="1"/>
    </xf>
    <xf numFmtId="0" fontId="7" fillId="13" borderId="10" xfId="0" applyFont="1" applyFill="1" applyBorder="1" applyAlignment="1">
      <alignment horizontal="justify" vertical="center" wrapText="1"/>
    </xf>
    <xf numFmtId="0" fontId="7" fillId="13" borderId="9"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32" fillId="6" borderId="3" xfId="0" applyFont="1" applyFill="1" applyBorder="1"/>
    <xf numFmtId="0" fontId="31" fillId="5" borderId="8" xfId="0" applyFont="1" applyFill="1" applyBorder="1" applyAlignment="1">
      <alignment horizontal="center" vertical="top" wrapText="1"/>
    </xf>
    <xf numFmtId="9" fontId="2" fillId="5" borderId="0" xfId="5" applyFont="1" applyFill="1" applyBorder="1" applyAlignment="1">
      <alignment horizontal="center" vertical="center" wrapText="1"/>
    </xf>
    <xf numFmtId="0" fontId="31" fillId="5" borderId="2" xfId="0" applyFont="1" applyFill="1" applyBorder="1" applyAlignment="1" applyProtection="1">
      <alignment horizontal="center" vertical="center" wrapText="1"/>
      <protection locked="0"/>
    </xf>
    <xf numFmtId="9" fontId="31" fillId="5" borderId="2" xfId="0" applyNumberFormat="1" applyFont="1" applyFill="1" applyBorder="1" applyAlignment="1" applyProtection="1">
      <alignment horizontal="center" vertical="center" wrapText="1"/>
      <protection locked="0"/>
    </xf>
    <xf numFmtId="0" fontId="31" fillId="5" borderId="2" xfId="0" applyFont="1" applyFill="1" applyBorder="1" applyAlignment="1" applyProtection="1">
      <alignment horizontal="justify" vertical="center" wrapText="1"/>
      <protection locked="0"/>
    </xf>
    <xf numFmtId="0" fontId="31" fillId="5" borderId="6" xfId="0" applyFont="1" applyFill="1" applyBorder="1" applyAlignment="1" applyProtection="1">
      <alignment horizontal="justify" vertical="center" wrapText="1"/>
      <protection locked="0"/>
    </xf>
    <xf numFmtId="166" fontId="31" fillId="5" borderId="2" xfId="0" applyNumberFormat="1" applyFont="1" applyFill="1" applyBorder="1" applyAlignment="1" applyProtection="1">
      <alignment horizontal="center" vertical="center" wrapText="1"/>
      <protection locked="0"/>
    </xf>
    <xf numFmtId="165" fontId="31" fillId="5" borderId="2" xfId="2" applyNumberFormat="1" applyFont="1" applyFill="1" applyBorder="1" applyAlignment="1" applyProtection="1">
      <alignment horizontal="center" vertical="center" wrapText="1"/>
      <protection locked="0"/>
    </xf>
    <xf numFmtId="9" fontId="31" fillId="5" borderId="6" xfId="0" applyNumberFormat="1"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0" xfId="0" applyBorder="1"/>
    <xf numFmtId="0" fontId="37" fillId="0" borderId="0" xfId="0" applyFont="1" applyBorder="1"/>
    <xf numFmtId="0" fontId="37" fillId="0" borderId="0" xfId="0" applyFont="1" applyBorder="1" applyAlignment="1">
      <alignment vertical="center" wrapText="1"/>
    </xf>
    <xf numFmtId="0" fontId="31" fillId="5" borderId="2" xfId="0" applyFont="1" applyFill="1" applyBorder="1" applyAlignment="1" applyProtection="1">
      <alignment horizontal="left" vertical="center" wrapText="1"/>
    </xf>
    <xf numFmtId="0" fontId="38" fillId="14" borderId="13" xfId="0" applyFont="1" applyFill="1" applyBorder="1" applyAlignment="1">
      <alignment horizontal="center" vertical="center"/>
    </xf>
    <xf numFmtId="0" fontId="37" fillId="9" borderId="13" xfId="0" applyFont="1" applyFill="1" applyBorder="1" applyAlignment="1"/>
    <xf numFmtId="0" fontId="37" fillId="9" borderId="2" xfId="0" applyFont="1" applyFill="1" applyBorder="1" applyAlignment="1"/>
    <xf numFmtId="0" fontId="39" fillId="14" borderId="14" xfId="0" applyFont="1" applyFill="1" applyBorder="1" applyAlignment="1">
      <alignment vertical="center" wrapText="1"/>
    </xf>
    <xf numFmtId="0" fontId="1" fillId="5" borderId="14" xfId="0" applyFont="1" applyFill="1" applyBorder="1" applyAlignment="1">
      <alignment vertical="center" wrapText="1"/>
    </xf>
    <xf numFmtId="0" fontId="1" fillId="5" borderId="8" xfId="0" applyFont="1" applyFill="1" applyBorder="1" applyAlignment="1">
      <alignment vertical="center" wrapText="1"/>
    </xf>
    <xf numFmtId="0" fontId="10" fillId="5" borderId="2" xfId="0" applyFont="1" applyFill="1" applyBorder="1" applyAlignment="1">
      <alignment vertical="center" wrapText="1"/>
    </xf>
    <xf numFmtId="0" fontId="40" fillId="5" borderId="15" xfId="0" applyFont="1" applyFill="1" applyBorder="1" applyAlignment="1">
      <alignment horizontal="center" vertical="center" wrapText="1"/>
    </xf>
    <xf numFmtId="0" fontId="41" fillId="5" borderId="2" xfId="0" applyFont="1" applyFill="1" applyBorder="1" applyAlignment="1">
      <alignment vertical="center" wrapText="1"/>
    </xf>
    <xf numFmtId="0" fontId="32" fillId="5" borderId="0" xfId="0" applyFont="1" applyFill="1" applyBorder="1" applyAlignment="1">
      <alignment vertical="top" wrapText="1"/>
    </xf>
    <xf numFmtId="0" fontId="32" fillId="5" borderId="0" xfId="0" applyFont="1" applyFill="1" applyBorder="1" applyAlignment="1">
      <alignment horizontal="center" vertical="center" wrapText="1"/>
    </xf>
    <xf numFmtId="0" fontId="31" fillId="5" borderId="6" xfId="0" applyFont="1" applyFill="1" applyBorder="1" applyAlignment="1" applyProtection="1">
      <alignment horizontal="center" vertical="center" wrapText="1"/>
      <protection locked="0"/>
    </xf>
    <xf numFmtId="0" fontId="0" fillId="10" borderId="2" xfId="0" applyFill="1" applyBorder="1" applyAlignment="1" applyProtection="1">
      <alignment horizontal="left" vertical="center" wrapText="1"/>
      <protection locked="0"/>
    </xf>
    <xf numFmtId="0" fontId="41" fillId="10" borderId="2" xfId="0" applyFont="1" applyFill="1" applyBorder="1" applyAlignment="1" applyProtection="1">
      <alignment horizontal="left" vertical="center" wrapText="1"/>
      <protection locked="0"/>
    </xf>
    <xf numFmtId="0" fontId="31" fillId="5" borderId="2" xfId="0" applyFont="1" applyFill="1" applyBorder="1" applyAlignment="1">
      <alignment horizontal="left" vertical="center" wrapText="1"/>
    </xf>
    <xf numFmtId="0" fontId="30" fillId="5" borderId="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10" borderId="7" xfId="0" applyFill="1" applyBorder="1" applyAlignment="1" applyProtection="1">
      <alignment horizontal="left" vertical="center" wrapText="1"/>
      <protection locked="0"/>
    </xf>
    <xf numFmtId="0" fontId="31" fillId="5" borderId="7" xfId="0" applyFont="1" applyFill="1" applyBorder="1" applyAlignment="1" applyProtection="1">
      <alignment horizontal="center" vertical="center" wrapText="1"/>
      <protection locked="0"/>
    </xf>
    <xf numFmtId="0" fontId="31" fillId="5" borderId="7" xfId="0" applyFont="1" applyFill="1" applyBorder="1" applyAlignment="1">
      <alignment horizontal="center" vertical="center" wrapText="1"/>
    </xf>
    <xf numFmtId="9" fontId="31" fillId="5" borderId="7" xfId="0" applyNumberFormat="1" applyFont="1" applyFill="1" applyBorder="1" applyAlignment="1" applyProtection="1">
      <alignment horizontal="center" vertical="center" wrapText="1"/>
      <protection locked="0"/>
    </xf>
    <xf numFmtId="0" fontId="31" fillId="5" borderId="5" xfId="0" applyFont="1" applyFill="1" applyBorder="1" applyAlignment="1" applyProtection="1">
      <alignment horizontal="center" vertical="center" wrapText="1"/>
      <protection locked="0"/>
    </xf>
    <xf numFmtId="0" fontId="31" fillId="5" borderId="5" xfId="0" applyFont="1" applyFill="1" applyBorder="1" applyAlignment="1">
      <alignment horizontal="center" vertical="center" wrapText="1"/>
    </xf>
    <xf numFmtId="9" fontId="31" fillId="5" borderId="5" xfId="0" applyNumberFormat="1" applyFont="1" applyFill="1" applyBorder="1" applyAlignment="1" applyProtection="1">
      <alignment horizontal="center" vertical="center" wrapText="1"/>
      <protection locked="0"/>
    </xf>
    <xf numFmtId="0" fontId="31" fillId="5" borderId="5" xfId="0" applyFont="1" applyFill="1" applyBorder="1" applyAlignment="1" applyProtection="1">
      <alignment horizontal="left" vertical="center" wrapText="1"/>
    </xf>
    <xf numFmtId="166" fontId="31" fillId="5" borderId="5" xfId="0" applyNumberFormat="1" applyFont="1" applyFill="1" applyBorder="1" applyAlignment="1" applyProtection="1">
      <alignment horizontal="center" vertical="center" wrapText="1"/>
      <protection locked="0"/>
    </xf>
    <xf numFmtId="9" fontId="2" fillId="5" borderId="5" xfId="5" applyFont="1" applyFill="1" applyBorder="1" applyAlignment="1">
      <alignment horizontal="center" vertical="center" wrapText="1"/>
    </xf>
    <xf numFmtId="0" fontId="31" fillId="5" borderId="5" xfId="0" applyFont="1" applyFill="1" applyBorder="1" applyAlignment="1" applyProtection="1">
      <alignment horizontal="justify" vertical="center" wrapText="1"/>
      <protection locked="0"/>
    </xf>
    <xf numFmtId="0" fontId="31" fillId="5" borderId="5" xfId="5" applyNumberFormat="1" applyFont="1" applyFill="1" applyBorder="1" applyAlignment="1">
      <alignment horizontal="center" vertical="center" wrapText="1"/>
    </xf>
    <xf numFmtId="9" fontId="31" fillId="5" borderId="5" xfId="5" applyFont="1" applyFill="1" applyBorder="1" applyAlignment="1" applyProtection="1">
      <alignment horizontal="center" vertical="center" wrapText="1"/>
      <protection locked="0"/>
    </xf>
    <xf numFmtId="9" fontId="2" fillId="5" borderId="5" xfId="5" applyFont="1" applyFill="1" applyBorder="1" applyAlignment="1" applyProtection="1">
      <alignment horizontal="center" vertical="center" wrapText="1"/>
      <protection locked="0"/>
    </xf>
    <xf numFmtId="9" fontId="31" fillId="5" borderId="5" xfId="5" applyFont="1" applyFill="1" applyBorder="1" applyAlignment="1">
      <alignment horizontal="center" vertical="center" wrapText="1"/>
    </xf>
    <xf numFmtId="0" fontId="31" fillId="5" borderId="7" xfId="0" applyFont="1" applyFill="1" applyBorder="1" applyAlignment="1" applyProtection="1">
      <alignment horizontal="left" vertical="center" wrapText="1"/>
    </xf>
    <xf numFmtId="166" fontId="31" fillId="5" borderId="7" xfId="0" applyNumberFormat="1" applyFont="1" applyFill="1" applyBorder="1" applyAlignment="1" applyProtection="1">
      <alignment horizontal="center" vertical="center" wrapText="1"/>
      <protection locked="0"/>
    </xf>
    <xf numFmtId="0" fontId="38" fillId="14" borderId="2" xfId="0" applyFont="1" applyFill="1" applyBorder="1" applyAlignment="1">
      <alignment horizontal="center" vertical="center"/>
    </xf>
    <xf numFmtId="0" fontId="37" fillId="0" borderId="2" xfId="0" applyFont="1" applyBorder="1" applyAlignment="1">
      <alignment horizontal="center"/>
    </xf>
    <xf numFmtId="0" fontId="38" fillId="14"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0" borderId="5" xfId="0" applyBorder="1" applyAlignment="1">
      <alignment vertical="center" wrapText="1"/>
    </xf>
    <xf numFmtId="0" fontId="31" fillId="5" borderId="16" xfId="0" applyFont="1" applyFill="1" applyBorder="1" applyAlignment="1" applyProtection="1">
      <alignment horizontal="center" vertical="center" wrapText="1"/>
      <protection locked="0"/>
    </xf>
    <xf numFmtId="0" fontId="0" fillId="0" borderId="7" xfId="0" applyBorder="1" applyAlignment="1">
      <alignment vertical="center" wrapText="1"/>
    </xf>
    <xf numFmtId="0" fontId="31" fillId="5" borderId="16" xfId="0" applyFont="1" applyFill="1" applyBorder="1" applyAlignment="1" applyProtection="1">
      <alignment horizontal="justify" vertical="center" wrapText="1"/>
      <protection locked="0"/>
    </xf>
    <xf numFmtId="9" fontId="31" fillId="5" borderId="16" xfId="0" applyNumberFormat="1" applyFont="1" applyFill="1" applyBorder="1" applyAlignment="1" applyProtection="1">
      <alignment horizontal="center" vertical="center" wrapText="1"/>
      <protection locked="0"/>
    </xf>
    <xf numFmtId="0" fontId="1" fillId="6" borderId="8"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34" fillId="5" borderId="5" xfId="0" applyFont="1" applyFill="1" applyBorder="1" applyAlignment="1" applyProtection="1">
      <alignment horizontal="left" vertical="center" wrapText="1"/>
      <protection locked="0"/>
    </xf>
    <xf numFmtId="0" fontId="34" fillId="5" borderId="18" xfId="0" applyFont="1" applyFill="1" applyBorder="1" applyAlignment="1" applyProtection="1">
      <alignment horizontal="left" vertical="center" wrapText="1"/>
      <protection locked="0"/>
    </xf>
    <xf numFmtId="0" fontId="0" fillId="0" borderId="6" xfId="0" applyBorder="1" applyAlignment="1">
      <alignment vertical="center" wrapText="1"/>
    </xf>
    <xf numFmtId="166" fontId="31" fillId="5" borderId="6" xfId="0" applyNumberFormat="1" applyFont="1" applyFill="1" applyBorder="1" applyAlignment="1" applyProtection="1">
      <alignment horizontal="center" vertical="center" wrapText="1"/>
      <protection locked="0"/>
    </xf>
    <xf numFmtId="0" fontId="34" fillId="5" borderId="6" xfId="0" applyFont="1" applyFill="1" applyBorder="1" applyAlignment="1" applyProtection="1">
      <alignment horizontal="center" vertical="center" wrapText="1"/>
      <protection locked="0"/>
    </xf>
    <xf numFmtId="0" fontId="1" fillId="18" borderId="19" xfId="0" applyFont="1" applyFill="1" applyBorder="1" applyAlignment="1">
      <alignment horizontal="center" vertical="center" wrapText="1"/>
    </xf>
    <xf numFmtId="0" fontId="1" fillId="18" borderId="19" xfId="0" applyFont="1" applyFill="1" applyBorder="1" applyAlignment="1">
      <alignment vertical="center" wrapText="1"/>
    </xf>
    <xf numFmtId="0" fontId="1" fillId="18" borderId="20" xfId="0" applyFont="1" applyFill="1" applyBorder="1" applyAlignment="1">
      <alignment horizontal="center" vertical="center" wrapText="1"/>
    </xf>
    <xf numFmtId="0" fontId="1" fillId="18" borderId="7" xfId="0" applyFont="1" applyFill="1" applyBorder="1" applyAlignment="1">
      <alignment horizontal="center" vertical="center" wrapText="1"/>
    </xf>
    <xf numFmtId="9" fontId="42" fillId="5" borderId="21" xfId="5" applyFont="1" applyFill="1" applyBorder="1" applyAlignment="1" applyProtection="1">
      <alignment horizontal="center" vertical="center" wrapText="1"/>
    </xf>
    <xf numFmtId="0" fontId="1" fillId="19" borderId="22" xfId="0" applyFont="1" applyFill="1" applyBorder="1" applyAlignment="1">
      <alignment vertical="center" wrapText="1"/>
    </xf>
    <xf numFmtId="0" fontId="1" fillId="5" borderId="23"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0" fillId="0" borderId="25" xfId="0" applyBorder="1"/>
    <xf numFmtId="0" fontId="31" fillId="5" borderId="25" xfId="0" applyFont="1" applyFill="1" applyBorder="1" applyAlignment="1" applyProtection="1">
      <alignment vertical="center" wrapText="1"/>
    </xf>
    <xf numFmtId="0" fontId="31" fillId="5" borderId="25" xfId="0" applyFont="1" applyFill="1" applyBorder="1" applyAlignment="1" applyProtection="1">
      <alignment horizontal="center" vertical="center" wrapText="1"/>
      <protection locked="0"/>
    </xf>
    <xf numFmtId="9" fontId="2" fillId="5" borderId="25" xfId="5" applyFont="1" applyFill="1" applyBorder="1" applyAlignment="1" applyProtection="1">
      <alignment horizontal="center" vertical="center" wrapText="1"/>
    </xf>
    <xf numFmtId="0" fontId="34" fillId="5" borderId="25" xfId="0" applyFont="1" applyFill="1" applyBorder="1" applyAlignment="1" applyProtection="1">
      <alignment vertical="center" wrapText="1"/>
    </xf>
    <xf numFmtId="9" fontId="12" fillId="5" borderId="25" xfId="5" applyFont="1" applyFill="1" applyBorder="1" applyAlignment="1" applyProtection="1">
      <alignment horizontal="center" vertical="center" wrapText="1"/>
    </xf>
    <xf numFmtId="9" fontId="2" fillId="5" borderId="26" xfId="5" applyFont="1" applyFill="1" applyBorder="1" applyAlignment="1" applyProtection="1">
      <alignment vertical="center" wrapText="1"/>
    </xf>
    <xf numFmtId="0" fontId="31" fillId="5" borderId="19" xfId="0" applyFont="1" applyFill="1" applyBorder="1" applyAlignment="1" applyProtection="1">
      <alignment horizontal="center" vertical="center" wrapText="1"/>
      <protection locked="0"/>
    </xf>
    <xf numFmtId="0" fontId="31" fillId="5" borderId="19" xfId="0" applyFont="1" applyFill="1" applyBorder="1" applyAlignment="1" applyProtection="1">
      <alignment horizontal="justify" vertical="center" wrapText="1"/>
      <protection locked="0"/>
    </xf>
    <xf numFmtId="9" fontId="31" fillId="5" borderId="19" xfId="0" applyNumberFormat="1" applyFont="1" applyFill="1" applyBorder="1" applyAlignment="1" applyProtection="1">
      <alignment horizontal="center" vertical="center" wrapText="1"/>
      <protection locked="0"/>
    </xf>
    <xf numFmtId="166" fontId="31" fillId="5" borderId="19" xfId="0" applyNumberFormat="1" applyFont="1" applyFill="1" applyBorder="1" applyAlignment="1" applyProtection="1">
      <alignment horizontal="center" vertical="center" wrapText="1"/>
      <protection locked="0"/>
    </xf>
    <xf numFmtId="0" fontId="31" fillId="5" borderId="27" xfId="0" applyFont="1" applyFill="1" applyBorder="1" applyAlignment="1" applyProtection="1">
      <alignment horizontal="center" vertical="center" wrapText="1"/>
      <protection locked="0"/>
    </xf>
    <xf numFmtId="0" fontId="31" fillId="5" borderId="3" xfId="0" applyFont="1" applyFill="1" applyBorder="1" applyAlignment="1" applyProtection="1">
      <alignment horizontal="center" vertical="center" wrapText="1"/>
      <protection locked="0"/>
    </xf>
    <xf numFmtId="0" fontId="31" fillId="5" borderId="3" xfId="0" applyFont="1" applyFill="1" applyBorder="1" applyAlignment="1" applyProtection="1">
      <alignment horizontal="justify" vertical="center" wrapText="1"/>
      <protection locked="0"/>
    </xf>
    <xf numFmtId="9" fontId="31" fillId="5" borderId="3" xfId="0" applyNumberFormat="1" applyFont="1" applyFill="1" applyBorder="1" applyAlignment="1" applyProtection="1">
      <alignment horizontal="center" vertical="center" wrapText="1"/>
      <protection locked="0"/>
    </xf>
    <xf numFmtId="166" fontId="31" fillId="5" borderId="3" xfId="0" applyNumberFormat="1" applyFont="1" applyFill="1" applyBorder="1" applyAlignment="1" applyProtection="1">
      <alignment horizontal="center" vertical="center" wrapText="1"/>
      <protection locked="0"/>
    </xf>
    <xf numFmtId="0" fontId="1" fillId="20" borderId="28" xfId="0" applyFont="1" applyFill="1" applyBorder="1" applyAlignment="1">
      <alignment vertical="center" wrapText="1"/>
    </xf>
    <xf numFmtId="0" fontId="1" fillId="20" borderId="29" xfId="0" applyFont="1" applyFill="1" applyBorder="1" applyAlignment="1">
      <alignment vertical="center" wrapText="1"/>
    </xf>
    <xf numFmtId="0" fontId="41" fillId="5" borderId="3" xfId="0" applyFont="1" applyFill="1" applyBorder="1" applyAlignment="1">
      <alignment vertical="center" wrapText="1"/>
    </xf>
    <xf numFmtId="0" fontId="41" fillId="0" borderId="3" xfId="0" applyFont="1" applyBorder="1" applyAlignment="1">
      <alignment vertical="center" wrapText="1"/>
    </xf>
    <xf numFmtId="0" fontId="31" fillId="5" borderId="30" xfId="0" applyFont="1" applyFill="1" applyBorder="1" applyAlignment="1" applyProtection="1">
      <alignment horizontal="justify" vertical="center" wrapText="1"/>
      <protection locked="0"/>
    </xf>
    <xf numFmtId="0" fontId="31" fillId="5" borderId="26" xfId="0" applyFont="1" applyFill="1" applyBorder="1" applyAlignment="1" applyProtection="1">
      <alignment horizontal="justify" vertical="center" wrapText="1"/>
      <protection locked="0"/>
    </xf>
    <xf numFmtId="0" fontId="0" fillId="0" borderId="3" xfId="0" applyBorder="1" applyAlignment="1">
      <alignment vertical="center" wrapText="1"/>
    </xf>
    <xf numFmtId="0" fontId="31" fillId="5" borderId="21" xfId="0" applyFont="1" applyFill="1" applyBorder="1" applyAlignment="1" applyProtection="1">
      <alignment horizontal="left" vertical="center" wrapText="1"/>
      <protection locked="0"/>
    </xf>
    <xf numFmtId="0" fontId="31" fillId="5" borderId="21" xfId="0" applyFont="1" applyFill="1" applyBorder="1" applyAlignment="1" applyProtection="1">
      <alignment horizontal="justify" vertical="center" wrapText="1"/>
      <protection locked="0"/>
    </xf>
    <xf numFmtId="0" fontId="0" fillId="0" borderId="21" xfId="0" applyBorder="1" applyAlignment="1">
      <alignment vertical="center" wrapText="1"/>
    </xf>
    <xf numFmtId="0" fontId="41" fillId="5" borderId="21" xfId="0" applyFont="1" applyFill="1" applyBorder="1" applyAlignment="1">
      <alignment wrapText="1"/>
    </xf>
    <xf numFmtId="0" fontId="43" fillId="5" borderId="3" xfId="0" applyFont="1" applyFill="1" applyBorder="1" applyAlignment="1" applyProtection="1">
      <alignment horizontal="center" vertical="center" wrapText="1"/>
      <protection locked="0"/>
    </xf>
    <xf numFmtId="0" fontId="31" fillId="5" borderId="3" xfId="0" applyFont="1" applyFill="1" applyBorder="1" applyAlignment="1" applyProtection="1">
      <alignment horizontal="left" vertical="center" wrapText="1"/>
    </xf>
    <xf numFmtId="0" fontId="31" fillId="5" borderId="31" xfId="0" applyFont="1" applyFill="1" applyBorder="1" applyAlignment="1" applyProtection="1">
      <alignment horizontal="center" vertical="center" wrapText="1"/>
      <protection locked="0"/>
    </xf>
    <xf numFmtId="0" fontId="43" fillId="5" borderId="25" xfId="0" applyFont="1" applyFill="1" applyBorder="1" applyAlignment="1" applyProtection="1">
      <alignment horizontal="center" vertical="center" wrapText="1"/>
      <protection locked="0"/>
    </xf>
    <xf numFmtId="9" fontId="31" fillId="5" borderId="25" xfId="0" applyNumberFormat="1" applyFont="1" applyFill="1" applyBorder="1" applyAlignment="1" applyProtection="1">
      <alignment horizontal="center" vertical="center" wrapText="1"/>
      <protection locked="0"/>
    </xf>
    <xf numFmtId="0" fontId="31" fillId="5" borderId="25" xfId="0" applyFont="1" applyFill="1" applyBorder="1" applyAlignment="1" applyProtection="1">
      <alignment horizontal="left" vertical="center" wrapText="1"/>
    </xf>
    <xf numFmtId="166" fontId="31" fillId="5" borderId="25" xfId="0" applyNumberFormat="1" applyFont="1" applyFill="1" applyBorder="1" applyAlignment="1" applyProtection="1">
      <alignment horizontal="center" vertical="center" wrapText="1"/>
      <protection locked="0"/>
    </xf>
    <xf numFmtId="0" fontId="40" fillId="5" borderId="21" xfId="0" applyFont="1" applyFill="1" applyBorder="1" applyAlignment="1" applyProtection="1">
      <alignment horizontal="justify" vertical="center" wrapText="1"/>
      <protection locked="0"/>
    </xf>
    <xf numFmtId="0" fontId="40" fillId="5" borderId="31" xfId="0" applyFont="1" applyFill="1" applyBorder="1" applyAlignment="1" applyProtection="1">
      <alignment horizontal="center" vertical="center" wrapText="1"/>
      <protection locked="0"/>
    </xf>
    <xf numFmtId="0" fontId="40" fillId="5" borderId="25" xfId="0" applyFont="1" applyFill="1" applyBorder="1" applyAlignment="1" applyProtection="1">
      <alignment horizontal="center" vertical="center" wrapText="1"/>
      <protection locked="0"/>
    </xf>
    <xf numFmtId="9" fontId="40" fillId="5" borderId="25" xfId="0" applyNumberFormat="1" applyFont="1" applyFill="1" applyBorder="1" applyAlignment="1" applyProtection="1">
      <alignment horizontal="center" vertical="center" wrapText="1"/>
      <protection locked="0"/>
    </xf>
    <xf numFmtId="0" fontId="40" fillId="5" borderId="25" xfId="0" applyFont="1" applyFill="1" applyBorder="1" applyAlignment="1" applyProtection="1">
      <alignment horizontal="left" vertical="center" wrapText="1"/>
    </xf>
    <xf numFmtId="166" fontId="40" fillId="5" borderId="25" xfId="0" applyNumberFormat="1" applyFont="1" applyFill="1" applyBorder="1" applyAlignment="1" applyProtection="1">
      <alignment horizontal="center" vertical="center" wrapText="1"/>
      <protection locked="0"/>
    </xf>
    <xf numFmtId="9" fontId="44" fillId="5" borderId="21" xfId="0" applyNumberFormat="1" applyFont="1" applyFill="1" applyBorder="1" applyAlignment="1" applyProtection="1">
      <alignment horizontal="center" vertical="center" wrapText="1"/>
      <protection locked="0"/>
    </xf>
    <xf numFmtId="9" fontId="45" fillId="5" borderId="21" xfId="0" applyNumberFormat="1" applyFont="1" applyFill="1" applyBorder="1" applyAlignment="1">
      <alignment horizontal="center" vertical="center" wrapText="1"/>
    </xf>
    <xf numFmtId="0" fontId="40" fillId="5" borderId="19" xfId="0" applyFont="1" applyFill="1" applyBorder="1" applyAlignment="1" applyProtection="1">
      <alignment horizontal="center" vertical="center" wrapText="1"/>
      <protection locked="0"/>
    </xf>
    <xf numFmtId="166" fontId="40" fillId="5" borderId="19" xfId="0" applyNumberFormat="1" applyFont="1" applyFill="1" applyBorder="1" applyAlignment="1" applyProtection="1">
      <alignment horizontal="center" vertical="center" wrapText="1"/>
      <protection locked="0"/>
    </xf>
    <xf numFmtId="0" fontId="31" fillId="5" borderId="32" xfId="0" applyFont="1" applyFill="1" applyBorder="1" applyAlignment="1">
      <alignment horizontal="center" vertical="center" wrapText="1"/>
    </xf>
    <xf numFmtId="0" fontId="31" fillId="5" borderId="32" xfId="0" applyFont="1" applyFill="1" applyBorder="1" applyAlignment="1" applyProtection="1">
      <alignment horizontal="center" vertical="center" wrapText="1"/>
      <protection locked="0"/>
    </xf>
    <xf numFmtId="9" fontId="2" fillId="5" borderId="32" xfId="5" applyFont="1" applyFill="1" applyBorder="1" applyAlignment="1">
      <alignment horizontal="center" vertical="center" wrapText="1"/>
    </xf>
    <xf numFmtId="0" fontId="31" fillId="5" borderId="32" xfId="0" applyFont="1" applyFill="1" applyBorder="1" applyAlignment="1" applyProtection="1">
      <alignment horizontal="justify" vertical="center" wrapText="1"/>
      <protection locked="0"/>
    </xf>
    <xf numFmtId="0" fontId="31" fillId="5" borderId="32" xfId="5" applyNumberFormat="1" applyFont="1" applyFill="1" applyBorder="1" applyAlignment="1">
      <alignment horizontal="center" vertical="center" wrapText="1"/>
    </xf>
    <xf numFmtId="9" fontId="31" fillId="5" borderId="32" xfId="5" applyFont="1" applyFill="1" applyBorder="1" applyAlignment="1" applyProtection="1">
      <alignment horizontal="center" vertical="center" wrapText="1"/>
      <protection locked="0"/>
    </xf>
    <xf numFmtId="9" fontId="31" fillId="5" borderId="32" xfId="0" applyNumberFormat="1" applyFont="1" applyFill="1" applyBorder="1" applyAlignment="1" applyProtection="1">
      <alignment horizontal="center" vertical="center" wrapText="1"/>
      <protection locked="0"/>
    </xf>
    <xf numFmtId="0" fontId="34" fillId="5" borderId="32" xfId="0" applyFont="1" applyFill="1" applyBorder="1" applyAlignment="1" applyProtection="1">
      <alignment horizontal="left" vertical="center" wrapText="1"/>
      <protection locked="0"/>
    </xf>
    <xf numFmtId="9" fontId="31" fillId="5" borderId="32" xfId="5" applyFont="1" applyFill="1" applyBorder="1" applyAlignment="1">
      <alignment horizontal="center" vertical="center" wrapText="1"/>
    </xf>
    <xf numFmtId="0" fontId="34" fillId="5" borderId="33" xfId="0" applyFont="1" applyFill="1" applyBorder="1" applyAlignment="1" applyProtection="1">
      <alignment horizontal="left" vertical="center" wrapText="1"/>
      <protection locked="0"/>
    </xf>
    <xf numFmtId="0" fontId="34" fillId="5" borderId="2" xfId="0" applyFont="1" applyFill="1" applyBorder="1" applyAlignment="1" applyProtection="1">
      <alignment horizontal="center" vertical="center" wrapText="1"/>
      <protection locked="0"/>
    </xf>
    <xf numFmtId="0" fontId="34" fillId="5" borderId="3" xfId="0" applyFont="1" applyFill="1" applyBorder="1" applyAlignment="1" applyProtection="1">
      <alignment horizontal="center" vertical="center" wrapText="1"/>
      <protection locked="0"/>
    </xf>
    <xf numFmtId="0" fontId="31" fillId="5" borderId="25" xfId="0" applyFont="1" applyFill="1" applyBorder="1" applyAlignment="1">
      <alignment horizontal="center" vertical="center" wrapText="1"/>
    </xf>
    <xf numFmtId="9" fontId="2" fillId="5" borderId="25" xfId="5" applyFont="1" applyFill="1" applyBorder="1" applyAlignment="1">
      <alignment horizontal="center" vertical="center" wrapText="1"/>
    </xf>
    <xf numFmtId="0" fontId="31" fillId="5" borderId="25" xfId="0" applyFont="1" applyFill="1" applyBorder="1" applyAlignment="1" applyProtection="1">
      <alignment horizontal="justify" vertical="center" wrapText="1"/>
      <protection locked="0"/>
    </xf>
    <xf numFmtId="0" fontId="31" fillId="5" borderId="25" xfId="5" applyNumberFormat="1" applyFont="1" applyFill="1" applyBorder="1" applyAlignment="1">
      <alignment horizontal="center" vertical="center" wrapText="1"/>
    </xf>
    <xf numFmtId="9" fontId="31" fillId="5" borderId="25" xfId="5" applyFont="1" applyFill="1" applyBorder="1" applyAlignment="1" applyProtection="1">
      <alignment horizontal="center" vertical="center" wrapText="1"/>
      <protection locked="0"/>
    </xf>
    <xf numFmtId="0" fontId="34" fillId="5" borderId="25" xfId="0" applyFont="1" applyFill="1" applyBorder="1" applyAlignment="1" applyProtection="1">
      <alignment horizontal="left" vertical="center" wrapText="1"/>
      <protection locked="0"/>
    </xf>
    <xf numFmtId="9" fontId="31" fillId="5" borderId="25" xfId="5" applyFont="1" applyFill="1" applyBorder="1" applyAlignment="1">
      <alignment horizontal="center" vertical="center" wrapText="1"/>
    </xf>
    <xf numFmtId="9" fontId="2" fillId="5" borderId="25" xfId="5" applyFont="1" applyFill="1" applyBorder="1" applyAlignment="1" applyProtection="1">
      <alignment horizontal="center" vertical="center" wrapText="1"/>
      <protection locked="0"/>
    </xf>
    <xf numFmtId="0" fontId="34" fillId="5" borderId="26" xfId="0" applyFont="1" applyFill="1" applyBorder="1" applyAlignment="1" applyProtection="1">
      <alignment horizontal="left" vertical="center" wrapText="1"/>
      <protection locked="0"/>
    </xf>
    <xf numFmtId="166" fontId="31" fillId="5" borderId="32" xfId="0" applyNumberFormat="1" applyFont="1" applyFill="1" applyBorder="1" applyAlignment="1" applyProtection="1">
      <alignment horizontal="center" vertical="center" wrapText="1"/>
      <protection locked="0"/>
    </xf>
    <xf numFmtId="0" fontId="33" fillId="5" borderId="19" xfId="0" applyFont="1" applyFill="1" applyBorder="1" applyAlignment="1" applyProtection="1">
      <alignment horizontal="justify" vertical="center" wrapText="1"/>
      <protection locked="0"/>
    </xf>
    <xf numFmtId="0" fontId="40" fillId="5" borderId="19" xfId="0" applyFont="1" applyFill="1" applyBorder="1" applyAlignment="1" applyProtection="1">
      <alignment horizontal="left" vertical="center" wrapText="1"/>
    </xf>
    <xf numFmtId="0" fontId="40" fillId="5" borderId="25" xfId="0" applyFont="1" applyFill="1" applyBorder="1" applyAlignment="1" applyProtection="1">
      <alignment horizontal="justify" vertical="center" wrapText="1"/>
      <protection locked="0"/>
    </xf>
    <xf numFmtId="0" fontId="33" fillId="5" borderId="25" xfId="0" applyFont="1" applyFill="1" applyBorder="1" applyAlignment="1" applyProtection="1">
      <alignment horizontal="justify" vertical="center" wrapText="1"/>
      <protection locked="0"/>
    </xf>
    <xf numFmtId="0" fontId="1" fillId="5" borderId="34"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 fillId="15" borderId="13" xfId="0" applyFont="1" applyFill="1" applyBorder="1" applyAlignment="1" applyProtection="1">
      <alignment horizontal="left" vertical="center" wrapText="1"/>
      <protection locked="0"/>
    </xf>
    <xf numFmtId="0" fontId="44" fillId="15" borderId="36" xfId="0" applyFont="1" applyFill="1" applyBorder="1" applyAlignment="1" applyProtection="1">
      <alignment horizontal="center" vertical="center" wrapText="1"/>
      <protection locked="0"/>
    </xf>
    <xf numFmtId="0" fontId="0" fillId="7" borderId="37" xfId="0" applyFill="1" applyBorder="1" applyAlignment="1">
      <alignment horizontal="left" vertical="center" wrapText="1"/>
    </xf>
    <xf numFmtId="0" fontId="0" fillId="7" borderId="38" xfId="0" applyFill="1" applyBorder="1" applyAlignment="1">
      <alignment horizontal="left" vertical="center" wrapText="1"/>
    </xf>
    <xf numFmtId="0" fontId="46" fillId="7" borderId="39" xfId="0" applyFont="1" applyFill="1" applyBorder="1" applyAlignment="1">
      <alignment horizontal="center" vertical="center" wrapText="1"/>
    </xf>
    <xf numFmtId="0" fontId="29" fillId="21" borderId="37" xfId="0" applyFont="1" applyFill="1" applyBorder="1" applyAlignment="1">
      <alignment horizontal="left" vertical="center" wrapText="1"/>
    </xf>
    <xf numFmtId="0" fontId="29" fillId="21" borderId="40" xfId="0" applyFont="1" applyFill="1" applyBorder="1" applyAlignment="1">
      <alignment horizontal="left" vertical="center" wrapText="1"/>
    </xf>
    <xf numFmtId="0" fontId="29" fillId="21" borderId="38" xfId="0" applyNumberFormat="1" applyFont="1" applyFill="1" applyBorder="1" applyAlignment="1">
      <alignment horizontal="left" vertical="center" wrapText="1"/>
    </xf>
    <xf numFmtId="0" fontId="47" fillId="21" borderId="39" xfId="0" applyFont="1" applyFill="1" applyBorder="1" applyAlignment="1">
      <alignment horizontal="center" vertical="center" wrapText="1"/>
    </xf>
    <xf numFmtId="0" fontId="0" fillId="22" borderId="37" xfId="0" applyFill="1" applyBorder="1" applyAlignment="1">
      <alignment vertical="center" wrapText="1"/>
    </xf>
    <xf numFmtId="0" fontId="0" fillId="22" borderId="40" xfId="0" applyFill="1" applyBorder="1" applyAlignment="1">
      <alignment vertical="center" wrapText="1"/>
    </xf>
    <xf numFmtId="0" fontId="0" fillId="22" borderId="38" xfId="0" applyFill="1" applyBorder="1" applyAlignment="1">
      <alignment vertical="center" wrapText="1"/>
    </xf>
    <xf numFmtId="0" fontId="44" fillId="22" borderId="36" xfId="0" applyFont="1" applyFill="1" applyBorder="1" applyAlignment="1">
      <alignment horizontal="center" vertical="center" wrapText="1"/>
    </xf>
    <xf numFmtId="0" fontId="33" fillId="15" borderId="13" xfId="0" applyFont="1" applyFill="1" applyBorder="1" applyAlignment="1" applyProtection="1">
      <alignment horizontal="left" vertical="center" wrapText="1"/>
      <protection locked="0"/>
    </xf>
    <xf numFmtId="0" fontId="44" fillId="23" borderId="36" xfId="0" applyFont="1" applyFill="1" applyBorder="1" applyAlignment="1" applyProtection="1">
      <alignment horizontal="center" vertical="center" wrapText="1"/>
      <protection locked="0"/>
    </xf>
    <xf numFmtId="0" fontId="0" fillId="24" borderId="22" xfId="0" applyFont="1" applyFill="1" applyBorder="1" applyAlignment="1" applyProtection="1">
      <alignment horizontal="left" vertical="center" wrapText="1"/>
      <protection locked="0"/>
    </xf>
    <xf numFmtId="0" fontId="0" fillId="24" borderId="13" xfId="0" applyFont="1" applyFill="1" applyBorder="1" applyAlignment="1" applyProtection="1">
      <alignment horizontal="left" vertical="center" wrapText="1"/>
      <protection locked="0"/>
    </xf>
    <xf numFmtId="0" fontId="0" fillId="24" borderId="41" xfId="0" applyFill="1" applyBorder="1" applyAlignment="1" applyProtection="1">
      <alignment horizontal="left" vertical="center" wrapText="1"/>
      <protection locked="0"/>
    </xf>
    <xf numFmtId="0" fontId="0" fillId="24" borderId="41" xfId="0" applyFont="1" applyFill="1" applyBorder="1" applyAlignment="1" applyProtection="1">
      <alignment horizontal="left" vertical="center" wrapText="1"/>
      <protection locked="0"/>
    </xf>
    <xf numFmtId="0" fontId="14" fillId="24" borderId="36" xfId="0" applyFont="1" applyFill="1" applyBorder="1" applyAlignment="1">
      <alignment horizontal="center" vertical="center" wrapText="1"/>
    </xf>
    <xf numFmtId="0" fontId="16" fillId="25" borderId="0" xfId="0" applyFont="1" applyFill="1" applyBorder="1" applyAlignment="1">
      <alignment horizontal="center" vertical="center" wrapText="1"/>
    </xf>
    <xf numFmtId="0" fontId="14" fillId="25" borderId="36" xfId="0" applyFont="1" applyFill="1" applyBorder="1" applyAlignment="1">
      <alignment horizontal="center" vertical="center" wrapText="1"/>
    </xf>
    <xf numFmtId="0" fontId="29" fillId="26" borderId="42" xfId="0" applyFont="1" applyFill="1" applyBorder="1" applyAlignment="1">
      <alignment vertical="center" wrapText="1"/>
    </xf>
    <xf numFmtId="0" fontId="48" fillId="26" borderId="36" xfId="0" applyFont="1" applyFill="1" applyBorder="1" applyAlignment="1">
      <alignment horizontal="center" vertical="center" wrapText="1"/>
    </xf>
    <xf numFmtId="0" fontId="0" fillId="10" borderId="40" xfId="0" applyFill="1" applyBorder="1" applyAlignment="1">
      <alignment vertical="center" wrapText="1"/>
    </xf>
    <xf numFmtId="0" fontId="41" fillId="10" borderId="40" xfId="0" applyFont="1" applyFill="1" applyBorder="1" applyAlignment="1">
      <alignment vertical="center" wrapText="1"/>
    </xf>
    <xf numFmtId="0" fontId="0" fillId="10" borderId="38" xfId="0" applyFill="1" applyBorder="1" applyAlignment="1">
      <alignment vertical="center" wrapText="1"/>
    </xf>
    <xf numFmtId="0" fontId="31" fillId="5" borderId="10" xfId="0"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0" fontId="31" fillId="5" borderId="12" xfId="0" applyFont="1" applyFill="1" applyBorder="1" applyAlignment="1" applyProtection="1">
      <alignment horizontal="center" vertical="center" wrapText="1"/>
      <protection locked="0"/>
    </xf>
    <xf numFmtId="0" fontId="31" fillId="5" borderId="43" xfId="0" applyFont="1" applyFill="1" applyBorder="1" applyAlignment="1" applyProtection="1">
      <alignment horizontal="center" vertical="center" wrapText="1"/>
      <protection locked="0"/>
    </xf>
    <xf numFmtId="0" fontId="31" fillId="5" borderId="44" xfId="0" applyFont="1" applyFill="1" applyBorder="1" applyAlignment="1" applyProtection="1">
      <alignment horizontal="center" vertical="center" wrapText="1"/>
      <protection locked="0"/>
    </xf>
    <xf numFmtId="0" fontId="31" fillId="5" borderId="0" xfId="0" applyFont="1" applyFill="1" applyBorder="1" applyAlignment="1" applyProtection="1">
      <alignment horizontal="center" vertical="center" wrapText="1"/>
      <protection locked="0"/>
    </xf>
    <xf numFmtId="0" fontId="31" fillId="5" borderId="11" xfId="0" applyFont="1" applyFill="1" applyBorder="1" applyAlignment="1" applyProtection="1">
      <alignment horizontal="center" vertical="center" wrapText="1"/>
      <protection locked="0"/>
    </xf>
    <xf numFmtId="0" fontId="31" fillId="5" borderId="9" xfId="0" applyFont="1" applyFill="1" applyBorder="1" applyAlignment="1" applyProtection="1">
      <alignment horizontal="center" vertical="center" wrapText="1"/>
      <protection locked="0"/>
    </xf>
    <xf numFmtId="0" fontId="40" fillId="5" borderId="43" xfId="0" applyFont="1" applyFill="1" applyBorder="1" applyAlignment="1" applyProtection="1">
      <alignment horizontal="center" vertical="center" wrapText="1"/>
      <protection locked="0"/>
    </xf>
    <xf numFmtId="0" fontId="31" fillId="5" borderId="45" xfId="0" applyFont="1" applyFill="1" applyBorder="1" applyAlignment="1" applyProtection="1">
      <alignment horizontal="center" vertical="center" wrapText="1"/>
      <protection locked="0"/>
    </xf>
    <xf numFmtId="0" fontId="31" fillId="10" borderId="8" xfId="0" applyFont="1" applyFill="1" applyBorder="1" applyAlignment="1" applyProtection="1">
      <alignment horizontal="center" vertical="center" wrapText="1"/>
      <protection locked="0"/>
    </xf>
    <xf numFmtId="0" fontId="31" fillId="10" borderId="9" xfId="0" applyFont="1" applyFill="1" applyBorder="1" applyAlignment="1" applyProtection="1">
      <alignment horizontal="center" vertical="center" wrapText="1"/>
      <protection locked="0"/>
    </xf>
    <xf numFmtId="9" fontId="42" fillId="5" borderId="31" xfId="5" applyFont="1" applyFill="1" applyBorder="1" applyAlignment="1" applyProtection="1">
      <alignment horizontal="center" vertical="center" wrapText="1"/>
    </xf>
    <xf numFmtId="0" fontId="1" fillId="6" borderId="23" xfId="0" applyFont="1" applyFill="1" applyBorder="1" applyAlignment="1">
      <alignment horizontal="center" vertical="center" wrapText="1"/>
    </xf>
    <xf numFmtId="0" fontId="1" fillId="6" borderId="46" xfId="0" applyFont="1" applyFill="1" applyBorder="1" applyAlignment="1">
      <alignment horizontal="center" vertical="center" wrapText="1"/>
    </xf>
    <xf numFmtId="9" fontId="49" fillId="5" borderId="29" xfId="0" applyNumberFormat="1" applyFont="1" applyFill="1" applyBorder="1" applyAlignment="1">
      <alignment horizontal="center" vertical="center" wrapText="1"/>
    </xf>
    <xf numFmtId="9" fontId="44" fillId="5" borderId="29" xfId="0" applyNumberFormat="1" applyFont="1" applyFill="1" applyBorder="1" applyAlignment="1" applyProtection="1">
      <alignment horizontal="center" vertical="center" wrapText="1"/>
      <protection locked="0"/>
    </xf>
    <xf numFmtId="9" fontId="45" fillId="5" borderId="29" xfId="0" applyNumberFormat="1" applyFont="1" applyFill="1" applyBorder="1" applyAlignment="1">
      <alignment horizontal="center" vertical="center" wrapText="1"/>
    </xf>
    <xf numFmtId="9" fontId="49" fillId="5" borderId="21" xfId="0" applyNumberFormat="1" applyFont="1" applyFill="1" applyBorder="1" applyAlignment="1">
      <alignment horizontal="center" vertical="center" wrapText="1"/>
    </xf>
    <xf numFmtId="9" fontId="28" fillId="0" borderId="24" xfId="5" applyFont="1" applyBorder="1" applyAlignment="1">
      <alignment horizontal="center" vertical="center"/>
    </xf>
    <xf numFmtId="9" fontId="28" fillId="5" borderId="24" xfId="5" applyFont="1" applyFill="1" applyBorder="1" applyAlignment="1">
      <alignment horizontal="center" vertical="center"/>
    </xf>
    <xf numFmtId="9" fontId="28" fillId="0" borderId="34" xfId="5" applyFont="1" applyBorder="1" applyAlignment="1">
      <alignment horizontal="center" vertical="center"/>
    </xf>
    <xf numFmtId="0" fontId="18" fillId="5" borderId="6" xfId="0" applyFont="1" applyFill="1" applyBorder="1" applyAlignment="1" applyProtection="1">
      <alignment horizontal="center" vertical="center" wrapText="1"/>
      <protection locked="0"/>
    </xf>
    <xf numFmtId="0" fontId="18" fillId="5" borderId="6" xfId="0" applyFont="1" applyFill="1" applyBorder="1" applyAlignment="1">
      <alignment horizontal="center" vertical="center" wrapText="1"/>
    </xf>
    <xf numFmtId="0" fontId="30" fillId="5" borderId="5" xfId="0" applyNumberFormat="1" applyFont="1" applyFill="1" applyBorder="1" applyAlignment="1" applyProtection="1">
      <alignment horizontal="center" vertical="center"/>
      <protection locked="0"/>
    </xf>
    <xf numFmtId="0" fontId="1" fillId="5" borderId="29"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29" fillId="27" borderId="28" xfId="0" applyFont="1" applyFill="1" applyBorder="1" applyAlignment="1">
      <alignment vertical="center" wrapText="1"/>
    </xf>
    <xf numFmtId="0" fontId="29" fillId="27" borderId="24" xfId="0" applyFont="1" applyFill="1" applyBorder="1" applyAlignment="1">
      <alignment vertical="center" wrapText="1"/>
    </xf>
    <xf numFmtId="0" fontId="41" fillId="5" borderId="32" xfId="0" applyFont="1" applyFill="1" applyBorder="1" applyAlignment="1">
      <alignment horizontal="center" vertical="center" wrapText="1"/>
    </xf>
    <xf numFmtId="0" fontId="31" fillId="5" borderId="32" xfId="0" applyFont="1" applyFill="1" applyBorder="1" applyAlignment="1" applyProtection="1">
      <alignment horizontal="left" vertical="center" wrapText="1"/>
    </xf>
    <xf numFmtId="0" fontId="29" fillId="27" borderId="46" xfId="0" applyFont="1" applyFill="1" applyBorder="1" applyAlignment="1">
      <alignment vertical="center" wrapText="1"/>
    </xf>
    <xf numFmtId="0" fontId="41" fillId="5" borderId="3" xfId="0" applyFont="1" applyFill="1" applyBorder="1" applyAlignment="1">
      <alignment horizontal="center" vertical="center" wrapText="1"/>
    </xf>
    <xf numFmtId="0" fontId="47" fillId="27" borderId="21" xfId="0" applyFont="1" applyFill="1" applyBorder="1" applyAlignment="1">
      <alignment horizontal="center" vertical="center" wrapText="1"/>
    </xf>
    <xf numFmtId="9" fontId="49" fillId="5" borderId="43" xfId="0" applyNumberFormat="1" applyFont="1" applyFill="1" applyBorder="1" applyAlignment="1">
      <alignment horizontal="center" vertical="center" wrapText="1"/>
    </xf>
    <xf numFmtId="0" fontId="18" fillId="10" borderId="47" xfId="0" applyFont="1" applyFill="1" applyBorder="1" applyAlignment="1">
      <alignment vertical="center" wrapText="1"/>
    </xf>
    <xf numFmtId="0" fontId="18" fillId="10" borderId="6" xfId="0" applyFont="1" applyFill="1" applyBorder="1" applyAlignment="1" applyProtection="1">
      <alignment horizontal="center" vertical="center" wrapText="1"/>
      <protection locked="0"/>
    </xf>
    <xf numFmtId="0" fontId="18" fillId="10" borderId="6" xfId="0" applyFont="1" applyFill="1" applyBorder="1" applyAlignment="1">
      <alignment horizontal="left" vertical="center" wrapText="1"/>
    </xf>
    <xf numFmtId="9" fontId="18" fillId="5" borderId="6" xfId="5" applyFont="1" applyFill="1" applyBorder="1" applyAlignment="1">
      <alignment horizontal="center" vertical="center" wrapText="1"/>
    </xf>
    <xf numFmtId="0" fontId="18" fillId="5" borderId="6" xfId="0" applyFont="1" applyFill="1" applyBorder="1" applyAlignment="1">
      <alignment vertical="center" wrapText="1"/>
    </xf>
    <xf numFmtId="0" fontId="0" fillId="24" borderId="13" xfId="0" applyFill="1" applyBorder="1" applyAlignment="1" applyProtection="1">
      <alignment horizontal="left" vertical="center" wrapText="1"/>
      <protection locked="0"/>
    </xf>
    <xf numFmtId="9" fontId="28" fillId="5" borderId="24" xfId="5" applyFont="1" applyFill="1" applyBorder="1" applyAlignment="1">
      <alignment horizontal="center" vertical="center" wrapText="1"/>
    </xf>
    <xf numFmtId="0" fontId="2" fillId="28" borderId="13" xfId="0" applyFont="1" applyFill="1" applyBorder="1" applyAlignment="1" applyProtection="1">
      <alignment horizontal="left" vertical="center" wrapText="1"/>
      <protection locked="0"/>
    </xf>
    <xf numFmtId="0" fontId="33" fillId="28" borderId="13" xfId="0" applyFont="1" applyFill="1" applyBorder="1" applyAlignment="1" applyProtection="1">
      <alignment horizontal="left" vertical="center" wrapText="1"/>
      <protection locked="0"/>
    </xf>
    <xf numFmtId="0" fontId="31" fillId="28" borderId="48" xfId="0" applyFont="1" applyFill="1" applyBorder="1" applyAlignment="1" applyProtection="1">
      <alignment horizontal="center" vertical="center" wrapText="1"/>
      <protection locked="0"/>
    </xf>
    <xf numFmtId="0" fontId="17" fillId="28" borderId="13" xfId="0" applyFont="1" applyFill="1" applyBorder="1" applyAlignment="1" applyProtection="1">
      <alignment horizontal="left" vertical="center" wrapText="1"/>
      <protection locked="0"/>
    </xf>
    <xf numFmtId="10" fontId="0" fillId="5" borderId="23" xfId="0" applyNumberFormat="1" applyFont="1" applyFill="1" applyBorder="1" applyAlignment="1">
      <alignment horizontal="center" vertical="center" wrapText="1"/>
    </xf>
    <xf numFmtId="10" fontId="0" fillId="5" borderId="49" xfId="0" applyNumberFormat="1" applyFont="1" applyFill="1" applyBorder="1" applyAlignment="1">
      <alignment horizontal="center" vertical="center" wrapText="1"/>
    </xf>
    <xf numFmtId="9" fontId="0" fillId="5" borderId="49" xfId="0" applyNumberFormat="1" applyFont="1" applyFill="1" applyBorder="1" applyAlignment="1">
      <alignment horizontal="center" vertical="center" wrapText="1"/>
    </xf>
    <xf numFmtId="9" fontId="0" fillId="5" borderId="50" xfId="0" applyNumberFormat="1" applyFont="1" applyFill="1" applyBorder="1" applyAlignment="1">
      <alignment horizontal="center" vertical="center" wrapText="1"/>
    </xf>
    <xf numFmtId="9" fontId="31" fillId="10" borderId="2" xfId="0" applyNumberFormat="1" applyFont="1" applyFill="1" applyBorder="1" applyAlignment="1" applyProtection="1">
      <alignment horizontal="center" vertical="center" wrapText="1"/>
      <protection locked="0"/>
    </xf>
    <xf numFmtId="9" fontId="0" fillId="5" borderId="23" xfId="0" applyNumberFormat="1" applyFont="1" applyFill="1" applyBorder="1" applyAlignment="1">
      <alignment horizontal="center" vertical="center" wrapText="1"/>
    </xf>
    <xf numFmtId="9" fontId="31" fillId="10" borderId="3" xfId="0" applyNumberFormat="1" applyFont="1" applyFill="1" applyBorder="1" applyAlignment="1" applyProtection="1">
      <alignment horizontal="center" vertical="center" wrapText="1"/>
      <protection locked="0"/>
    </xf>
    <xf numFmtId="9" fontId="31" fillId="10" borderId="6" xfId="0" applyNumberFormat="1" applyFont="1" applyFill="1" applyBorder="1" applyAlignment="1" applyProtection="1">
      <alignment horizontal="center" vertical="center" wrapText="1"/>
      <protection locked="0"/>
    </xf>
    <xf numFmtId="9" fontId="0" fillId="5" borderId="24" xfId="0" applyNumberFormat="1" applyFont="1" applyFill="1" applyBorder="1" applyAlignment="1">
      <alignment horizontal="center" vertical="center" wrapText="1"/>
    </xf>
    <xf numFmtId="9" fontId="0" fillId="5" borderId="46" xfId="0" applyNumberFormat="1" applyFont="1" applyFill="1" applyBorder="1" applyAlignment="1">
      <alignment horizontal="center" vertical="center" wrapText="1"/>
    </xf>
    <xf numFmtId="9" fontId="41" fillId="5" borderId="46" xfId="0" applyNumberFormat="1" applyFont="1" applyFill="1" applyBorder="1" applyAlignment="1">
      <alignment horizontal="center" vertical="center" wrapText="1"/>
    </xf>
    <xf numFmtId="9" fontId="0" fillId="5" borderId="51" xfId="0" applyNumberFormat="1" applyFont="1" applyFill="1" applyBorder="1" applyAlignment="1">
      <alignment horizontal="center" vertical="center" wrapText="1"/>
    </xf>
    <xf numFmtId="9" fontId="0" fillId="5" borderId="8" xfId="0" applyNumberFormat="1" applyFont="1" applyFill="1" applyBorder="1" applyAlignment="1">
      <alignment horizontal="center" vertical="center" wrapText="1"/>
    </xf>
    <xf numFmtId="9" fontId="0" fillId="5" borderId="28" xfId="0" applyNumberFormat="1" applyFont="1" applyFill="1" applyBorder="1" applyAlignment="1">
      <alignment horizontal="center" vertical="center" wrapText="1"/>
    </xf>
    <xf numFmtId="9" fontId="0" fillId="5" borderId="12" xfId="0" applyNumberFormat="1" applyFont="1" applyFill="1" applyBorder="1" applyAlignment="1">
      <alignment horizontal="center" vertical="center" wrapText="1"/>
    </xf>
    <xf numFmtId="0" fontId="31" fillId="10" borderId="5" xfId="0" applyFont="1" applyFill="1" applyBorder="1" applyAlignment="1" applyProtection="1">
      <alignment horizontal="center" vertical="center" wrapText="1"/>
      <protection locked="0"/>
    </xf>
    <xf numFmtId="0" fontId="30" fillId="5" borderId="5" xfId="0" applyFont="1" applyFill="1" applyBorder="1" applyAlignment="1" applyProtection="1">
      <alignment horizontal="center" vertical="center"/>
      <protection locked="0"/>
    </xf>
    <xf numFmtId="0" fontId="31" fillId="5" borderId="2" xfId="0" applyNumberFormat="1" applyFont="1" applyFill="1" applyBorder="1" applyAlignment="1" applyProtection="1">
      <alignment horizontal="center" vertical="center" wrapText="1"/>
      <protection locked="0"/>
    </xf>
    <xf numFmtId="9" fontId="33" fillId="29" borderId="23" xfId="0" applyNumberFormat="1" applyFont="1" applyFill="1" applyBorder="1" applyAlignment="1" applyProtection="1">
      <alignment horizontal="center" vertical="center" wrapText="1"/>
      <protection locked="0"/>
    </xf>
    <xf numFmtId="9" fontId="0" fillId="29" borderId="29" xfId="0" applyNumberFormat="1" applyFill="1" applyBorder="1" applyAlignment="1">
      <alignment horizontal="center" vertical="center"/>
    </xf>
    <xf numFmtId="9" fontId="33" fillId="29" borderId="46" xfId="0" applyNumberFormat="1" applyFont="1" applyFill="1" applyBorder="1" applyAlignment="1" applyProtection="1">
      <alignment horizontal="center" vertical="center" wrapText="1"/>
      <protection locked="0"/>
    </xf>
    <xf numFmtId="9" fontId="0" fillId="29" borderId="23" xfId="0" applyNumberFormat="1" applyFont="1" applyFill="1" applyBorder="1" applyAlignment="1">
      <alignment horizontal="left" vertical="center" wrapText="1"/>
    </xf>
    <xf numFmtId="9" fontId="0" fillId="29" borderId="23" xfId="0" applyNumberFormat="1" applyFont="1" applyFill="1" applyBorder="1" applyAlignment="1">
      <alignment horizontal="center" vertical="center" wrapText="1"/>
    </xf>
    <xf numFmtId="9" fontId="0" fillId="29" borderId="49" xfId="0" applyNumberFormat="1" applyFont="1" applyFill="1" applyBorder="1" applyAlignment="1">
      <alignment horizontal="center" vertical="center" wrapText="1"/>
    </xf>
    <xf numFmtId="9" fontId="0" fillId="10" borderId="50" xfId="0" applyNumberFormat="1" applyFont="1" applyFill="1" applyBorder="1" applyAlignment="1">
      <alignment horizontal="center" vertical="center" wrapText="1"/>
    </xf>
    <xf numFmtId="0" fontId="31" fillId="10" borderId="7" xfId="0" applyFont="1" applyFill="1" applyBorder="1" applyAlignment="1" applyProtection="1">
      <alignment horizontal="left" vertical="center" wrapText="1"/>
    </xf>
    <xf numFmtId="0" fontId="31" fillId="10" borderId="5" xfId="0" applyFont="1" applyFill="1" applyBorder="1" applyAlignment="1">
      <alignment horizontal="center" vertical="center" wrapText="1"/>
    </xf>
    <xf numFmtId="9" fontId="2" fillId="10" borderId="5" xfId="5" applyFont="1" applyFill="1" applyBorder="1" applyAlignment="1">
      <alignment horizontal="center" vertical="center" wrapText="1"/>
    </xf>
    <xf numFmtId="0" fontId="0" fillId="10" borderId="2" xfId="0" applyFill="1" applyBorder="1" applyAlignment="1">
      <alignment vertical="center" wrapText="1"/>
    </xf>
    <xf numFmtId="0" fontId="31" fillId="10" borderId="2" xfId="0" applyFont="1" applyFill="1" applyBorder="1" applyAlignment="1" applyProtection="1">
      <alignment horizontal="center" vertical="center" wrapText="1"/>
      <protection locked="0"/>
    </xf>
    <xf numFmtId="166" fontId="31" fillId="10" borderId="2" xfId="0" applyNumberFormat="1" applyFont="1" applyFill="1" applyBorder="1" applyAlignment="1" applyProtection="1">
      <alignment horizontal="center" vertical="center" wrapText="1"/>
      <protection locked="0"/>
    </xf>
    <xf numFmtId="9" fontId="31" fillId="10" borderId="5" xfId="5" applyFont="1" applyFill="1" applyBorder="1" applyAlignment="1">
      <alignment horizontal="center" vertical="center" wrapText="1"/>
    </xf>
    <xf numFmtId="9" fontId="31" fillId="10" borderId="5" xfId="5"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locked="0"/>
    </xf>
    <xf numFmtId="0" fontId="0" fillId="0" borderId="7" xfId="0" applyFill="1" applyBorder="1" applyAlignment="1">
      <alignment vertical="center" wrapText="1"/>
    </xf>
    <xf numFmtId="0" fontId="31" fillId="0" borderId="16" xfId="0" applyFont="1" applyFill="1" applyBorder="1" applyAlignment="1" applyProtection="1">
      <alignment horizontal="justify" vertical="center" wrapText="1"/>
      <protection locked="0"/>
    </xf>
    <xf numFmtId="0" fontId="31" fillId="0" borderId="16" xfId="0" applyFont="1" applyFill="1" applyBorder="1" applyAlignment="1" applyProtection="1">
      <alignment horizontal="center" vertical="center" wrapText="1"/>
      <protection locked="0"/>
    </xf>
    <xf numFmtId="0" fontId="31" fillId="0" borderId="7" xfId="0" applyNumberFormat="1" applyFont="1" applyFill="1" applyBorder="1" applyAlignment="1" applyProtection="1">
      <alignment horizontal="center" vertical="center" wrapText="1"/>
      <protection locked="0"/>
    </xf>
    <xf numFmtId="0" fontId="31" fillId="0" borderId="7" xfId="0" applyFont="1" applyFill="1" applyBorder="1" applyAlignment="1" applyProtection="1">
      <alignment horizontal="center" vertical="center" wrapText="1"/>
      <protection locked="0"/>
    </xf>
    <xf numFmtId="0" fontId="31" fillId="0" borderId="7" xfId="0" applyFont="1" applyFill="1" applyBorder="1" applyAlignment="1" applyProtection="1">
      <alignment horizontal="left" vertical="center" wrapText="1"/>
    </xf>
    <xf numFmtId="166" fontId="31" fillId="0" borderId="7" xfId="0" applyNumberFormat="1" applyFont="1" applyFill="1" applyBorder="1" applyAlignment="1" applyProtection="1">
      <alignment horizontal="center" vertical="center" wrapText="1"/>
      <protection locked="0"/>
    </xf>
    <xf numFmtId="0" fontId="31" fillId="0" borderId="5" xfId="0" applyFont="1" applyFill="1" applyBorder="1" applyAlignment="1">
      <alignment horizontal="center" vertical="center" wrapText="1"/>
    </xf>
    <xf numFmtId="0" fontId="31" fillId="0" borderId="5" xfId="0" applyFont="1" applyFill="1" applyBorder="1" applyAlignment="1" applyProtection="1">
      <alignment horizontal="center" vertical="center" wrapText="1"/>
      <protection locked="0"/>
    </xf>
    <xf numFmtId="9" fontId="2" fillId="0" borderId="5" xfId="5" applyFont="1" applyFill="1" applyBorder="1" applyAlignment="1">
      <alignment horizontal="center" vertical="center" wrapText="1"/>
    </xf>
    <xf numFmtId="0" fontId="31" fillId="0" borderId="5" xfId="0" applyFont="1" applyFill="1" applyBorder="1" applyAlignment="1" applyProtection="1">
      <alignment horizontal="justify" vertical="center" wrapText="1"/>
      <protection locked="0"/>
    </xf>
    <xf numFmtId="0" fontId="31" fillId="30" borderId="2" xfId="0" applyFont="1" applyFill="1" applyBorder="1" applyAlignment="1" applyProtection="1">
      <alignment horizontal="center" vertical="center" wrapText="1"/>
      <protection locked="0"/>
    </xf>
    <xf numFmtId="0" fontId="31" fillId="30" borderId="7" xfId="0" applyFont="1" applyFill="1" applyBorder="1" applyAlignment="1" applyProtection="1">
      <alignment horizontal="center" vertical="center" wrapText="1"/>
      <protection locked="0"/>
    </xf>
    <xf numFmtId="9" fontId="31" fillId="30" borderId="6" xfId="0" applyNumberFormat="1" applyFont="1" applyFill="1" applyBorder="1" applyAlignment="1" applyProtection="1">
      <alignment horizontal="center" vertical="center" wrapText="1"/>
      <protection locked="0"/>
    </xf>
    <xf numFmtId="9" fontId="50" fillId="5" borderId="5" xfId="5" applyFont="1" applyFill="1" applyBorder="1" applyAlignment="1">
      <alignment horizontal="center" vertical="center" wrapText="1"/>
    </xf>
    <xf numFmtId="0" fontId="31" fillId="5" borderId="5" xfId="0" applyFont="1" applyFill="1" applyBorder="1" applyAlignment="1" applyProtection="1">
      <alignment horizontal="left" vertical="center" wrapText="1"/>
      <protection locked="0"/>
    </xf>
    <xf numFmtId="1" fontId="31" fillId="5" borderId="5" xfId="5" applyNumberFormat="1" applyFont="1" applyFill="1" applyBorder="1" applyAlignment="1">
      <alignment horizontal="center" vertical="center" wrapText="1"/>
    </xf>
    <xf numFmtId="0" fontId="31" fillId="5" borderId="5" xfId="0" applyFont="1" applyFill="1" applyBorder="1" applyAlignment="1" applyProtection="1">
      <alignment vertical="center" wrapText="1"/>
      <protection locked="0"/>
    </xf>
    <xf numFmtId="9" fontId="31" fillId="5" borderId="5" xfId="5" applyNumberFormat="1" applyFont="1" applyFill="1" applyBorder="1" applyAlignment="1" applyProtection="1">
      <alignment horizontal="center" vertical="center" wrapText="1"/>
      <protection locked="0"/>
    </xf>
    <xf numFmtId="0" fontId="31" fillId="5" borderId="32"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left" vertical="center" wrapText="1"/>
      <protection locked="0"/>
    </xf>
    <xf numFmtId="0" fontId="2" fillId="5" borderId="5" xfId="5" applyNumberFormat="1" applyFont="1" applyFill="1" applyBorder="1" applyAlignment="1">
      <alignment horizontal="center" vertical="center" wrapText="1"/>
    </xf>
    <xf numFmtId="168" fontId="31" fillId="5" borderId="5" xfId="5" applyNumberFormat="1" applyFont="1" applyFill="1" applyBorder="1" applyAlignment="1" applyProtection="1">
      <alignment horizontal="center" vertical="center" wrapText="1"/>
      <protection locked="0"/>
    </xf>
    <xf numFmtId="9" fontId="31" fillId="0" borderId="5" xfId="5" applyFont="1" applyFill="1" applyBorder="1" applyAlignment="1" applyProtection="1">
      <alignment horizontal="center" vertical="center" wrapText="1"/>
      <protection locked="0"/>
    </xf>
    <xf numFmtId="168" fontId="31" fillId="5" borderId="5" xfId="5" applyNumberFormat="1" applyFont="1" applyFill="1" applyBorder="1" applyAlignment="1">
      <alignment horizontal="center" vertical="center" wrapText="1"/>
    </xf>
    <xf numFmtId="168" fontId="2" fillId="5" borderId="25" xfId="5" applyNumberFormat="1" applyFont="1" applyFill="1" applyBorder="1" applyAlignment="1" applyProtection="1">
      <alignment horizontal="center" vertical="center" wrapText="1"/>
    </xf>
    <xf numFmtId="0" fontId="31" fillId="5" borderId="32" xfId="0" applyNumberFormat="1" applyFont="1" applyFill="1" applyBorder="1" applyAlignment="1" applyProtection="1">
      <alignment horizontal="center" vertical="center" wrapText="1"/>
      <protection locked="0"/>
    </xf>
    <xf numFmtId="0" fontId="1" fillId="15" borderId="52"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15" borderId="41" xfId="0" applyFont="1" applyFill="1" applyBorder="1" applyAlignment="1">
      <alignment horizontal="center" vertical="center" wrapText="1"/>
    </xf>
    <xf numFmtId="9" fontId="2" fillId="5" borderId="52" xfId="5" applyFont="1" applyFill="1" applyBorder="1" applyAlignment="1" applyProtection="1">
      <alignment horizontal="center" vertical="center" wrapText="1"/>
      <protection locked="0"/>
    </xf>
    <xf numFmtId="9" fontId="12" fillId="5" borderId="53" xfId="5" applyFont="1" applyFill="1" applyBorder="1" applyAlignment="1" applyProtection="1">
      <alignment horizontal="center" vertical="center" wrapText="1"/>
    </xf>
    <xf numFmtId="10" fontId="33" fillId="29" borderId="23" xfId="0" applyNumberFormat="1" applyFont="1" applyFill="1" applyBorder="1" applyAlignment="1" applyProtection="1">
      <alignment horizontal="center" vertical="center" wrapText="1"/>
      <protection locked="0"/>
    </xf>
    <xf numFmtId="9" fontId="33" fillId="29" borderId="24" xfId="0" applyNumberFormat="1" applyFont="1" applyFill="1" applyBorder="1" applyAlignment="1" applyProtection="1">
      <alignment horizontal="center" vertical="center" wrapText="1"/>
      <protection locked="0"/>
    </xf>
    <xf numFmtId="10" fontId="33" fillId="29" borderId="24" xfId="0" applyNumberFormat="1" applyFont="1" applyFill="1" applyBorder="1" applyAlignment="1" applyProtection="1">
      <alignment horizontal="center" vertical="center" wrapText="1"/>
      <protection locked="0"/>
    </xf>
    <xf numFmtId="10" fontId="33" fillId="29" borderId="46" xfId="0" applyNumberFormat="1" applyFont="1" applyFill="1" applyBorder="1" applyAlignment="1" applyProtection="1">
      <alignment horizontal="center" vertical="center" wrapText="1"/>
      <protection locked="0"/>
    </xf>
    <xf numFmtId="10" fontId="33" fillId="29" borderId="34" xfId="0" applyNumberFormat="1" applyFont="1" applyFill="1" applyBorder="1" applyAlignment="1" applyProtection="1">
      <alignment horizontal="center" vertical="center" wrapText="1"/>
      <protection locked="0"/>
    </xf>
    <xf numFmtId="168" fontId="2" fillId="5" borderId="52" xfId="5" applyNumberFormat="1" applyFont="1" applyFill="1" applyBorder="1" applyAlignment="1" applyProtection="1">
      <alignment horizontal="center" vertical="center" wrapText="1"/>
      <protection locked="0"/>
    </xf>
    <xf numFmtId="0" fontId="1"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31" fillId="5" borderId="14" xfId="0" applyFont="1" applyFill="1" applyBorder="1" applyAlignment="1">
      <alignment horizontal="center" vertical="top" wrapText="1"/>
    </xf>
    <xf numFmtId="0" fontId="1" fillId="6" borderId="10"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1" fillId="15" borderId="59"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32" fillId="5" borderId="0" xfId="0" applyFont="1" applyFill="1" applyBorder="1" applyAlignment="1">
      <alignment horizontal="justify" vertical="center" wrapText="1"/>
    </xf>
    <xf numFmtId="0" fontId="32" fillId="5" borderId="0" xfId="0" applyFont="1" applyFill="1" applyBorder="1" applyAlignment="1">
      <alignment horizontal="right" vertical="center" wrapText="1"/>
    </xf>
    <xf numFmtId="0" fontId="1" fillId="16" borderId="5"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40" fillId="5" borderId="13" xfId="0" applyFont="1" applyFill="1" applyBorder="1" applyAlignment="1">
      <alignment horizontal="center" vertical="center" wrapText="1"/>
    </xf>
    <xf numFmtId="0" fontId="40" fillId="5" borderId="14" xfId="0" applyFont="1" applyFill="1" applyBorder="1" applyAlignment="1">
      <alignment horizontal="center" vertical="center" wrapText="1"/>
    </xf>
    <xf numFmtId="0" fontId="40" fillId="5" borderId="8"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4" fillId="18" borderId="42" xfId="0" applyFont="1" applyFill="1" applyBorder="1" applyAlignment="1">
      <alignment horizontal="center" vertical="center" wrapText="1"/>
    </xf>
    <xf numFmtId="0" fontId="4" fillId="18" borderId="56"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58"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4" fillId="5" borderId="28" xfId="0" applyFont="1" applyFill="1" applyBorder="1" applyAlignment="1" applyProtection="1">
      <alignment horizontal="center" vertical="center" wrapText="1"/>
      <protection locked="0"/>
    </xf>
    <xf numFmtId="0" fontId="44" fillId="5" borderId="29" xfId="0" applyFont="1" applyFill="1" applyBorder="1" applyAlignment="1" applyProtection="1">
      <alignment horizontal="center" vertical="center" wrapText="1"/>
      <protection locked="0"/>
    </xf>
    <xf numFmtId="0" fontId="44" fillId="5" borderId="50" xfId="0" applyFont="1" applyFill="1" applyBorder="1" applyAlignment="1" applyProtection="1">
      <alignment horizontal="center" vertical="center" wrapText="1"/>
      <protection locked="0"/>
    </xf>
    <xf numFmtId="0" fontId="1" fillId="7" borderId="13"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44" fillId="0" borderId="28" xfId="0" applyFont="1" applyFill="1" applyBorder="1" applyAlignment="1" applyProtection="1">
      <alignment horizontal="center" vertical="center" wrapText="1"/>
      <protection locked="0"/>
    </xf>
    <xf numFmtId="0" fontId="44" fillId="0" borderId="29" xfId="0" applyFont="1" applyFill="1" applyBorder="1" applyAlignment="1" applyProtection="1">
      <alignment horizontal="center" vertical="center" wrapText="1"/>
      <protection locked="0"/>
    </xf>
    <xf numFmtId="0" fontId="44" fillId="0" borderId="50" xfId="0" applyFont="1" applyFill="1" applyBorder="1" applyAlignment="1" applyProtection="1">
      <alignment horizontal="center" vertical="center" wrapText="1"/>
      <protection locked="0"/>
    </xf>
    <xf numFmtId="0" fontId="40" fillId="5" borderId="13" xfId="0" applyFont="1" applyFill="1" applyBorder="1" applyAlignment="1">
      <alignment horizontal="center" vertical="top" wrapText="1"/>
    </xf>
    <xf numFmtId="0" fontId="40" fillId="5" borderId="14" xfId="0" applyFont="1" applyFill="1" applyBorder="1" applyAlignment="1">
      <alignment horizontal="center" vertical="top" wrapText="1"/>
    </xf>
    <xf numFmtId="0" fontId="40" fillId="5" borderId="8" xfId="0" applyFont="1" applyFill="1" applyBorder="1" applyAlignment="1">
      <alignment horizontal="center" vertical="top" wrapText="1"/>
    </xf>
    <xf numFmtId="22" fontId="54" fillId="32" borderId="2" xfId="0" applyNumberFormat="1" applyFont="1" applyFill="1" applyBorder="1" applyAlignment="1">
      <alignment horizontal="center" vertical="center"/>
    </xf>
    <xf numFmtId="0" fontId="54" fillId="32" borderId="2" xfId="0" applyFont="1" applyFill="1" applyBorder="1" applyAlignment="1">
      <alignment horizontal="center" vertical="center"/>
    </xf>
    <xf numFmtId="0" fontId="54" fillId="9" borderId="2" xfId="0" applyFont="1" applyFill="1" applyBorder="1" applyAlignment="1">
      <alignment horizontal="center" vertical="center"/>
    </xf>
    <xf numFmtId="0" fontId="4" fillId="7"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32" fillId="5" borderId="0" xfId="0" applyFont="1" applyFill="1" applyBorder="1" applyAlignment="1">
      <alignment horizontal="center" vertical="center"/>
    </xf>
    <xf numFmtId="0" fontId="30" fillId="5" borderId="0" xfId="0" applyFont="1" applyFill="1" applyBorder="1" applyAlignment="1">
      <alignment horizontal="center"/>
    </xf>
    <xf numFmtId="0" fontId="4" fillId="7" borderId="3" xfId="0" applyFont="1" applyFill="1" applyBorder="1" applyAlignment="1">
      <alignment horizontal="center" vertical="center" wrapText="1"/>
    </xf>
    <xf numFmtId="0" fontId="51" fillId="10" borderId="25" xfId="0" applyFont="1" applyFill="1" applyBorder="1" applyAlignment="1" applyProtection="1">
      <alignment horizontal="center" vertical="center" wrapText="1"/>
    </xf>
    <xf numFmtId="0" fontId="1" fillId="17" borderId="5"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53" fillId="17" borderId="53" xfId="0" applyFont="1" applyFill="1" applyBorder="1" applyAlignment="1" applyProtection="1">
      <alignment horizontal="center" vertical="center" wrapText="1"/>
    </xf>
    <xf numFmtId="0" fontId="53" fillId="17" borderId="54" xfId="0" applyFont="1" applyFill="1" applyBorder="1" applyAlignment="1" applyProtection="1">
      <alignment horizontal="center" vertical="center" wrapText="1"/>
    </xf>
    <xf numFmtId="0" fontId="53" fillId="17" borderId="31" xfId="0" applyFont="1" applyFill="1" applyBorder="1" applyAlignment="1" applyProtection="1">
      <alignment horizontal="center" vertical="center" wrapText="1"/>
    </xf>
    <xf numFmtId="0" fontId="4" fillId="6" borderId="8"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31" fillId="5" borderId="13" xfId="0" applyFont="1" applyFill="1" applyBorder="1" applyAlignment="1">
      <alignment horizontal="center" vertical="top" wrapText="1"/>
    </xf>
    <xf numFmtId="0" fontId="31" fillId="5" borderId="14" xfId="0" applyFont="1" applyFill="1" applyBorder="1" applyAlignment="1">
      <alignment horizontal="center" vertical="top" wrapText="1"/>
    </xf>
    <xf numFmtId="0" fontId="1" fillId="6" borderId="55" xfId="0" applyFont="1" applyFill="1" applyBorder="1" applyAlignment="1">
      <alignment horizontal="center" vertical="center" wrapText="1"/>
    </xf>
    <xf numFmtId="0" fontId="1" fillId="6" borderId="56"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4" fillId="5" borderId="42" xfId="0" applyFont="1" applyFill="1" applyBorder="1" applyAlignment="1" applyProtection="1">
      <alignment horizontal="center" vertical="center" wrapText="1"/>
      <protection locked="0"/>
    </xf>
    <xf numFmtId="0" fontId="44" fillId="5" borderId="39" xfId="0" applyFont="1" applyFill="1" applyBorder="1" applyAlignment="1" applyProtection="1">
      <alignment horizontal="center" vertical="center" wrapText="1"/>
      <protection locked="0"/>
    </xf>
    <xf numFmtId="0" fontId="44" fillId="5" borderId="57" xfId="0" applyFont="1" applyFill="1" applyBorder="1" applyAlignment="1" applyProtection="1">
      <alignment horizontal="center" vertical="center" wrapText="1"/>
      <protection locked="0"/>
    </xf>
    <xf numFmtId="0" fontId="40" fillId="5" borderId="37" xfId="0" applyFont="1" applyFill="1" applyBorder="1" applyAlignment="1">
      <alignment horizontal="center" vertical="center" wrapText="1"/>
    </xf>
    <xf numFmtId="0" fontId="40" fillId="5" borderId="55"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50" xfId="0" applyFont="1" applyFill="1" applyBorder="1" applyAlignment="1">
      <alignment horizontal="center" vertical="center" wrapText="1"/>
    </xf>
    <xf numFmtId="0" fontId="51" fillId="17" borderId="25" xfId="0" applyFont="1" applyFill="1" applyBorder="1" applyAlignment="1" applyProtection="1">
      <alignment horizontal="center" vertical="center" wrapText="1"/>
    </xf>
    <xf numFmtId="0" fontId="35" fillId="5" borderId="45" xfId="0" applyFont="1" applyFill="1" applyBorder="1" applyAlignment="1" applyProtection="1">
      <alignment horizontal="justify" vertical="center" wrapText="1"/>
      <protection locked="0"/>
    </xf>
    <xf numFmtId="0" fontId="35" fillId="5" borderId="27" xfId="0" applyFont="1" applyFill="1" applyBorder="1" applyAlignment="1" applyProtection="1">
      <alignment horizontal="justify" vertical="center" wrapText="1"/>
      <protection locked="0"/>
    </xf>
    <xf numFmtId="0" fontId="35" fillId="5" borderId="44" xfId="0" applyFont="1" applyFill="1" applyBorder="1" applyAlignment="1" applyProtection="1">
      <alignment horizontal="justify" vertical="center" wrapText="1"/>
      <protection locked="0"/>
    </xf>
    <xf numFmtId="0" fontId="51" fillId="31" borderId="25" xfId="0" applyFont="1" applyFill="1" applyBorder="1" applyAlignment="1" applyProtection="1">
      <alignment horizontal="center" vertical="center" wrapText="1"/>
    </xf>
    <xf numFmtId="0" fontId="35" fillId="5" borderId="45" xfId="0" applyFont="1" applyFill="1" applyBorder="1" applyAlignment="1" applyProtection="1">
      <alignment horizontal="center" vertical="center" wrapText="1"/>
      <protection locked="0"/>
    </xf>
    <xf numFmtId="0" fontId="35" fillId="5" borderId="27" xfId="0" applyFont="1" applyFill="1" applyBorder="1" applyAlignment="1" applyProtection="1">
      <alignment horizontal="center" vertical="center" wrapText="1"/>
      <protection locked="0"/>
    </xf>
    <xf numFmtId="0" fontId="35" fillId="5" borderId="0" xfId="0" applyFont="1" applyFill="1" applyBorder="1" applyAlignment="1" applyProtection="1">
      <alignment horizontal="center" vertical="center" wrapText="1"/>
      <protection locked="0"/>
    </xf>
    <xf numFmtId="0" fontId="35" fillId="5" borderId="44" xfId="0" applyFont="1" applyFill="1" applyBorder="1" applyAlignment="1" applyProtection="1">
      <alignment horizontal="center" vertical="center" wrapText="1"/>
      <protection locked="0"/>
    </xf>
    <xf numFmtId="0" fontId="1" fillId="20" borderId="29" xfId="0" applyFont="1" applyFill="1" applyBorder="1" applyAlignment="1">
      <alignment horizontal="center" vertical="center" wrapText="1"/>
    </xf>
    <xf numFmtId="0" fontId="1" fillId="20" borderId="50" xfId="0" applyFont="1" applyFill="1" applyBorder="1" applyAlignment="1">
      <alignment horizontal="center" vertical="center" wrapText="1"/>
    </xf>
    <xf numFmtId="0" fontId="52" fillId="19" borderId="36" xfId="0" applyFont="1" applyFill="1" applyBorder="1" applyAlignment="1" applyProtection="1">
      <alignment horizontal="center" vertical="center" wrapText="1"/>
    </xf>
    <xf numFmtId="0" fontId="0" fillId="0" borderId="54" xfId="0" applyBorder="1" applyAlignment="1"/>
    <xf numFmtId="0" fontId="31" fillId="5" borderId="5" xfId="0" applyNumberFormat="1" applyFont="1" applyFill="1" applyBorder="1" applyAlignment="1" applyProtection="1">
      <alignment horizontal="center" vertical="center" wrapText="1"/>
      <protection locked="0"/>
    </xf>
    <xf numFmtId="9" fontId="55" fillId="5" borderId="5" xfId="5" applyFont="1" applyFill="1" applyBorder="1" applyAlignment="1">
      <alignment horizontal="center" vertical="center" wrapText="1"/>
    </xf>
  </cellXfs>
  <cellStyles count="10">
    <cellStyle name="Amarillo" xfId="1"/>
    <cellStyle name="Millares" xfId="2" builtinId="3"/>
    <cellStyle name="Millares 2" xfId="3"/>
    <cellStyle name="Normal" xfId="0" builtinId="0"/>
    <cellStyle name="Normal 2" xfId="4"/>
    <cellStyle name="Porcentaje" xfId="5" builtinId="5"/>
    <cellStyle name="Porcentaje 2" xfId="6"/>
    <cellStyle name="Porcentual 2" xfId="7"/>
    <cellStyle name="Rojo" xfId="8"/>
    <cellStyle name="Verde" xfId="9"/>
  </cellStyles>
  <dxfs count="13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1264228</xdr:colOff>
      <xdr:row>110</xdr:row>
      <xdr:rowOff>121228</xdr:rowOff>
    </xdr:from>
    <xdr:to>
      <xdr:col>1</xdr:col>
      <xdr:colOff>2753592</xdr:colOff>
      <xdr:row>114</xdr:row>
      <xdr:rowOff>17319</xdr:rowOff>
    </xdr:to>
    <xdr:sp macro="" textlink="">
      <xdr:nvSpPr>
        <xdr:cNvPr id="2" name="1 Rectángulo">
          <a:extLst>
            <a:ext uri="{FF2B5EF4-FFF2-40B4-BE49-F238E27FC236}">
              <a16:creationId xmlns:a16="http://schemas.microsoft.com/office/drawing/2014/main" xmlns="" id="{EEFF42EA-D60E-42A6-A417-1869C27E4069}"/>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AR"/>
        </a:p>
      </xdr:txBody>
    </xdr:sp>
    <xdr:clientData/>
  </xdr:twoCellAnchor>
  <xdr:twoCellAnchor>
    <xdr:from>
      <xdr:col>1</xdr:col>
      <xdr:colOff>3134591</xdr:colOff>
      <xdr:row>110</xdr:row>
      <xdr:rowOff>173182</xdr:rowOff>
    </xdr:from>
    <xdr:to>
      <xdr:col>2</xdr:col>
      <xdr:colOff>675409</xdr:colOff>
      <xdr:row>113</xdr:row>
      <xdr:rowOff>103909</xdr:rowOff>
    </xdr:to>
    <xdr:sp macro="" textlink="">
      <xdr:nvSpPr>
        <xdr:cNvPr id="3" name="2 CuadroTexto">
          <a:extLst>
            <a:ext uri="{FF2B5EF4-FFF2-40B4-BE49-F238E27FC236}">
              <a16:creationId xmlns:a16="http://schemas.microsoft.com/office/drawing/2014/main" xmlns="" id="{84FF363F-298D-497F-B546-78E3C45B4401}"/>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116</xdr:row>
      <xdr:rowOff>155864</xdr:rowOff>
    </xdr:from>
    <xdr:to>
      <xdr:col>1</xdr:col>
      <xdr:colOff>2736273</xdr:colOff>
      <xdr:row>120</xdr:row>
      <xdr:rowOff>51955</xdr:rowOff>
    </xdr:to>
    <xdr:sp macro="" textlink="">
      <xdr:nvSpPr>
        <xdr:cNvPr id="4" name="3 Rectángulo">
          <a:extLst>
            <a:ext uri="{FF2B5EF4-FFF2-40B4-BE49-F238E27FC236}">
              <a16:creationId xmlns:a16="http://schemas.microsoft.com/office/drawing/2014/main" xmlns="" id="{D35D3764-DE3F-489D-95F6-33C16AC84B68}"/>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AR"/>
        </a:p>
      </xdr:txBody>
    </xdr:sp>
    <xdr:clientData/>
  </xdr:twoCellAnchor>
  <xdr:twoCellAnchor>
    <xdr:from>
      <xdr:col>1</xdr:col>
      <xdr:colOff>3134597</xdr:colOff>
      <xdr:row>117</xdr:row>
      <xdr:rowOff>51952</xdr:rowOff>
    </xdr:from>
    <xdr:to>
      <xdr:col>2</xdr:col>
      <xdr:colOff>675415</xdr:colOff>
      <xdr:row>119</xdr:row>
      <xdr:rowOff>173179</xdr:rowOff>
    </xdr:to>
    <xdr:sp macro="" textlink="">
      <xdr:nvSpPr>
        <xdr:cNvPr id="5" name="4 CuadroTexto">
          <a:extLst>
            <a:ext uri="{FF2B5EF4-FFF2-40B4-BE49-F238E27FC236}">
              <a16:creationId xmlns:a16="http://schemas.microsoft.com/office/drawing/2014/main" xmlns="" id="{7BF94F3F-E3D9-4098-8D0B-2F1C9A1C7A04}"/>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FOMENTO Y PROTECCIÓN DE DDHH</a:t>
          </a:r>
        </a:p>
      </xdr:txBody>
    </xdr:sp>
    <xdr:clientData/>
  </xdr:twoCellAnchor>
  <xdr:twoCellAnchor>
    <xdr:from>
      <xdr:col>1</xdr:col>
      <xdr:colOff>1246896</xdr:colOff>
      <xdr:row>122</xdr:row>
      <xdr:rowOff>121232</xdr:rowOff>
    </xdr:from>
    <xdr:to>
      <xdr:col>1</xdr:col>
      <xdr:colOff>2736260</xdr:colOff>
      <xdr:row>126</xdr:row>
      <xdr:rowOff>17323</xdr:rowOff>
    </xdr:to>
    <xdr:sp macro="" textlink="">
      <xdr:nvSpPr>
        <xdr:cNvPr id="6" name="5 Rectángulo">
          <a:extLst>
            <a:ext uri="{FF2B5EF4-FFF2-40B4-BE49-F238E27FC236}">
              <a16:creationId xmlns:a16="http://schemas.microsoft.com/office/drawing/2014/main" xmlns="" id="{FA07A52D-4BC2-4E7E-8168-47197C96819C}"/>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AR"/>
        </a:p>
      </xdr:txBody>
    </xdr:sp>
    <xdr:clientData/>
  </xdr:twoCellAnchor>
  <xdr:twoCellAnchor>
    <xdr:from>
      <xdr:col>1</xdr:col>
      <xdr:colOff>3134591</xdr:colOff>
      <xdr:row>123</xdr:row>
      <xdr:rowOff>17318</xdr:rowOff>
    </xdr:from>
    <xdr:to>
      <xdr:col>2</xdr:col>
      <xdr:colOff>675409</xdr:colOff>
      <xdr:row>125</xdr:row>
      <xdr:rowOff>138545</xdr:rowOff>
    </xdr:to>
    <xdr:sp macro="" textlink="">
      <xdr:nvSpPr>
        <xdr:cNvPr id="7" name="6 CuadroTexto">
          <a:extLst>
            <a:ext uri="{FF2B5EF4-FFF2-40B4-BE49-F238E27FC236}">
              <a16:creationId xmlns:a16="http://schemas.microsoft.com/office/drawing/2014/main" xmlns="" id="{62412E85-7E6E-42CF-8295-635D2B1488F0}"/>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128</xdr:row>
      <xdr:rowOff>34637</xdr:rowOff>
    </xdr:from>
    <xdr:to>
      <xdr:col>1</xdr:col>
      <xdr:colOff>2718955</xdr:colOff>
      <xdr:row>131</xdr:row>
      <xdr:rowOff>121228</xdr:rowOff>
    </xdr:to>
    <xdr:sp macro="" textlink="">
      <xdr:nvSpPr>
        <xdr:cNvPr id="8" name="7 Rectángulo">
          <a:extLst>
            <a:ext uri="{FF2B5EF4-FFF2-40B4-BE49-F238E27FC236}">
              <a16:creationId xmlns:a16="http://schemas.microsoft.com/office/drawing/2014/main" xmlns="" id="{6C47949B-4353-4D60-830E-E2B0906427D7}"/>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AR"/>
        </a:p>
      </xdr:txBody>
    </xdr:sp>
    <xdr:clientData/>
  </xdr:twoCellAnchor>
  <xdr:twoCellAnchor>
    <xdr:from>
      <xdr:col>1</xdr:col>
      <xdr:colOff>3117286</xdr:colOff>
      <xdr:row>128</xdr:row>
      <xdr:rowOff>121223</xdr:rowOff>
    </xdr:from>
    <xdr:to>
      <xdr:col>2</xdr:col>
      <xdr:colOff>658104</xdr:colOff>
      <xdr:row>131</xdr:row>
      <xdr:rowOff>51950</xdr:rowOff>
    </xdr:to>
    <xdr:sp macro="" textlink="">
      <xdr:nvSpPr>
        <xdr:cNvPr id="9" name="8 CuadroTexto">
          <a:extLst>
            <a:ext uri="{FF2B5EF4-FFF2-40B4-BE49-F238E27FC236}">
              <a16:creationId xmlns:a16="http://schemas.microsoft.com/office/drawing/2014/main" xmlns="" id="{9FCFC913-EC0D-44AC-A794-AAA72734BCA5}"/>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133</xdr:row>
      <xdr:rowOff>121227</xdr:rowOff>
    </xdr:from>
    <xdr:to>
      <xdr:col>1</xdr:col>
      <xdr:colOff>2753592</xdr:colOff>
      <xdr:row>137</xdr:row>
      <xdr:rowOff>17318</xdr:rowOff>
    </xdr:to>
    <xdr:sp macro="" textlink="">
      <xdr:nvSpPr>
        <xdr:cNvPr id="10" name="9 Rectángulo">
          <a:extLst>
            <a:ext uri="{FF2B5EF4-FFF2-40B4-BE49-F238E27FC236}">
              <a16:creationId xmlns:a16="http://schemas.microsoft.com/office/drawing/2014/main" xmlns="" id="{82A199EB-8056-4679-82DC-930BDF4EBC3F}"/>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AR"/>
        </a:p>
      </xdr:txBody>
    </xdr:sp>
    <xdr:clientData/>
  </xdr:twoCellAnchor>
  <xdr:twoCellAnchor>
    <xdr:from>
      <xdr:col>1</xdr:col>
      <xdr:colOff>3151923</xdr:colOff>
      <xdr:row>134</xdr:row>
      <xdr:rowOff>17313</xdr:rowOff>
    </xdr:from>
    <xdr:to>
      <xdr:col>2</xdr:col>
      <xdr:colOff>692741</xdr:colOff>
      <xdr:row>136</xdr:row>
      <xdr:rowOff>138540</xdr:rowOff>
    </xdr:to>
    <xdr:sp macro="" textlink="">
      <xdr:nvSpPr>
        <xdr:cNvPr id="11" name="10 CuadroTexto">
          <a:extLst>
            <a:ext uri="{FF2B5EF4-FFF2-40B4-BE49-F238E27FC236}">
              <a16:creationId xmlns:a16="http://schemas.microsoft.com/office/drawing/2014/main" xmlns="" id="{44FDF64D-4654-4295-B804-C1E26124C4CE}"/>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138</xdr:row>
      <xdr:rowOff>138545</xdr:rowOff>
    </xdr:from>
    <xdr:to>
      <xdr:col>1</xdr:col>
      <xdr:colOff>2753592</xdr:colOff>
      <xdr:row>142</xdr:row>
      <xdr:rowOff>34636</xdr:rowOff>
    </xdr:to>
    <xdr:sp macro="" textlink="">
      <xdr:nvSpPr>
        <xdr:cNvPr id="12" name="11 Rectángulo">
          <a:extLst>
            <a:ext uri="{FF2B5EF4-FFF2-40B4-BE49-F238E27FC236}">
              <a16:creationId xmlns:a16="http://schemas.microsoft.com/office/drawing/2014/main" xmlns="" id="{FD979900-FD7E-4277-BDC8-8E5A91FB6095}"/>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AR"/>
        </a:p>
      </xdr:txBody>
    </xdr:sp>
    <xdr:clientData/>
  </xdr:twoCellAnchor>
  <xdr:twoCellAnchor>
    <xdr:from>
      <xdr:col>1</xdr:col>
      <xdr:colOff>3151923</xdr:colOff>
      <xdr:row>139</xdr:row>
      <xdr:rowOff>34631</xdr:rowOff>
    </xdr:from>
    <xdr:to>
      <xdr:col>2</xdr:col>
      <xdr:colOff>692741</xdr:colOff>
      <xdr:row>141</xdr:row>
      <xdr:rowOff>155858</xdr:rowOff>
    </xdr:to>
    <xdr:sp macro="" textlink="">
      <xdr:nvSpPr>
        <xdr:cNvPr id="13" name="12 CuadroTexto">
          <a:extLst>
            <a:ext uri="{FF2B5EF4-FFF2-40B4-BE49-F238E27FC236}">
              <a16:creationId xmlns:a16="http://schemas.microsoft.com/office/drawing/2014/main" xmlns="" id="{A674A207-1B82-4990-B2AE-463439026466}"/>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145</xdr:row>
      <xdr:rowOff>0</xdr:rowOff>
    </xdr:from>
    <xdr:to>
      <xdr:col>1</xdr:col>
      <xdr:colOff>2788228</xdr:colOff>
      <xdr:row>148</xdr:row>
      <xdr:rowOff>86591</xdr:rowOff>
    </xdr:to>
    <xdr:sp macro="" textlink="">
      <xdr:nvSpPr>
        <xdr:cNvPr id="14" name="13 Rectángulo">
          <a:extLst>
            <a:ext uri="{FF2B5EF4-FFF2-40B4-BE49-F238E27FC236}">
              <a16:creationId xmlns:a16="http://schemas.microsoft.com/office/drawing/2014/main" xmlns="" id="{F009433B-78E9-4042-A303-D63A1AC24E0D}"/>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AR"/>
        </a:p>
      </xdr:txBody>
    </xdr:sp>
    <xdr:clientData/>
  </xdr:twoCellAnchor>
  <xdr:twoCellAnchor>
    <xdr:from>
      <xdr:col>1</xdr:col>
      <xdr:colOff>3186559</xdr:colOff>
      <xdr:row>145</xdr:row>
      <xdr:rowOff>86586</xdr:rowOff>
    </xdr:from>
    <xdr:to>
      <xdr:col>2</xdr:col>
      <xdr:colOff>727377</xdr:colOff>
      <xdr:row>148</xdr:row>
      <xdr:rowOff>17313</xdr:rowOff>
    </xdr:to>
    <xdr:sp macro="" textlink="">
      <xdr:nvSpPr>
        <xdr:cNvPr id="15" name="14 CuadroTexto">
          <a:extLst>
            <a:ext uri="{FF2B5EF4-FFF2-40B4-BE49-F238E27FC236}">
              <a16:creationId xmlns:a16="http://schemas.microsoft.com/office/drawing/2014/main" xmlns="" id="{94F11EAE-5EDF-4E42-B4AE-AA74878A9DB5}"/>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150</xdr:row>
      <xdr:rowOff>103909</xdr:rowOff>
    </xdr:from>
    <xdr:to>
      <xdr:col>1</xdr:col>
      <xdr:colOff>2753591</xdr:colOff>
      <xdr:row>154</xdr:row>
      <xdr:rowOff>0</xdr:rowOff>
    </xdr:to>
    <xdr:sp macro="" textlink="">
      <xdr:nvSpPr>
        <xdr:cNvPr id="16" name="15 Rectángulo">
          <a:extLst>
            <a:ext uri="{FF2B5EF4-FFF2-40B4-BE49-F238E27FC236}">
              <a16:creationId xmlns:a16="http://schemas.microsoft.com/office/drawing/2014/main" xmlns="" id="{059C942D-B781-4ACF-B8FE-F15250FCB364}"/>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AR"/>
        </a:p>
      </xdr:txBody>
    </xdr:sp>
    <xdr:clientData/>
  </xdr:twoCellAnchor>
  <xdr:twoCellAnchor>
    <xdr:from>
      <xdr:col>1</xdr:col>
      <xdr:colOff>3151922</xdr:colOff>
      <xdr:row>150</xdr:row>
      <xdr:rowOff>190495</xdr:rowOff>
    </xdr:from>
    <xdr:to>
      <xdr:col>2</xdr:col>
      <xdr:colOff>692740</xdr:colOff>
      <xdr:row>153</xdr:row>
      <xdr:rowOff>121222</xdr:rowOff>
    </xdr:to>
    <xdr:sp macro="" textlink="">
      <xdr:nvSpPr>
        <xdr:cNvPr id="17" name="16 CuadroTexto">
          <a:extLst>
            <a:ext uri="{FF2B5EF4-FFF2-40B4-BE49-F238E27FC236}">
              <a16:creationId xmlns:a16="http://schemas.microsoft.com/office/drawing/2014/main" xmlns="" id="{8F60B6FE-1A9C-4347-99C5-104741BBC593}"/>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an.jimenez/Mis%20documentos/Juan%20Sebastian%20Jimenez/Evidencias%20Febrero/Linamiento%20&#183;%203%20Planes%20De%20Gesti&#243;n/LINEAMIENTO%20&#183;%203/DEFINITIVO/DEFINITIVO%2023022017/L3.1%20GESTI&#211;N%20DEL%20CONOCIMIENTO%20201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04"/>
  <sheetViews>
    <sheetView showGridLines="0" tabSelected="1" topLeftCell="D10" zoomScale="70" zoomScaleNormal="70" workbookViewId="0">
      <pane xSplit="6570" ySplit="2220" topLeftCell="AY63" activePane="bottomRight"/>
      <selection activeCell="D10" sqref="D10"/>
      <selection pane="topRight" activeCell="F10" sqref="F10"/>
      <selection pane="bottomLeft" activeCell="D17" sqref="D17"/>
      <selection pane="bottomRight" activeCell="BC63" sqref="BC63"/>
    </sheetView>
  </sheetViews>
  <sheetFormatPr baseColWidth="10" defaultColWidth="9.140625" defaultRowHeight="15"/>
  <cols>
    <col min="1" max="1" width="28.7109375" customWidth="1"/>
    <col min="2" max="2" width="42.28515625" customWidth="1"/>
    <col min="3" max="3" width="46.42578125" customWidth="1"/>
    <col min="4" max="4" width="63.140625" customWidth="1"/>
    <col min="5" max="5" width="20.85546875" customWidth="1"/>
    <col min="6" max="6" width="36" customWidth="1"/>
    <col min="7" max="7" width="33.85546875" customWidth="1"/>
    <col min="8" max="8" width="54" customWidth="1"/>
    <col min="9" max="9" width="16.140625" customWidth="1"/>
    <col min="10" max="10" width="33.5703125" customWidth="1"/>
    <col min="11" max="11" width="25.42578125" customWidth="1"/>
    <col min="12" max="15" width="21.42578125" customWidth="1"/>
    <col min="16" max="16" width="41.7109375" customWidth="1"/>
    <col min="17" max="17" width="20" customWidth="1"/>
    <col min="18" max="18" width="27.28515625" customWidth="1"/>
    <col min="19" max="19" width="19.5703125" customWidth="1"/>
    <col min="20" max="23" width="11.42578125" customWidth="1"/>
    <col min="24" max="24" width="20.85546875" customWidth="1"/>
    <col min="25" max="25" width="18.85546875" customWidth="1"/>
    <col min="26" max="26" width="26.7109375" customWidth="1"/>
    <col min="27" max="27" width="18.85546875" customWidth="1"/>
    <col min="28" max="28" width="14.140625" customWidth="1"/>
    <col min="29" max="29" width="18.42578125" customWidth="1"/>
    <col min="30" max="30" width="22.140625" customWidth="1"/>
    <col min="31" max="31" width="17.7109375" customWidth="1"/>
    <col min="32" max="32" width="30.85546875" customWidth="1"/>
    <col min="33" max="33" width="19.7109375" customWidth="1"/>
    <col min="34" max="35" width="16.42578125" customWidth="1"/>
    <col min="36" max="36" width="22.140625" customWidth="1"/>
    <col min="37" max="37" width="17.85546875" customWidth="1"/>
    <col min="38" max="38" width="32.7109375" customWidth="1"/>
    <col min="39" max="39" width="11.42578125" customWidth="1"/>
    <col min="40" max="40" width="17.7109375" customWidth="1"/>
    <col min="41" max="41" width="11.42578125" customWidth="1"/>
    <col min="42" max="42" width="38.42578125" customWidth="1"/>
    <col min="43" max="43" width="21.28515625" customWidth="1"/>
    <col min="44" max="44" width="29.5703125" customWidth="1"/>
    <col min="45" max="45" width="11.42578125" customWidth="1"/>
    <col min="46" max="46" width="17.85546875" bestFit="1" customWidth="1"/>
    <col min="47" max="47" width="14.85546875" customWidth="1"/>
    <col min="48" max="48" width="36" customWidth="1"/>
    <col min="49" max="49" width="20.7109375" customWidth="1"/>
    <col min="50" max="50" width="24.140625" customWidth="1"/>
    <col min="51" max="51" width="19.140625" customWidth="1"/>
    <col min="52" max="52" width="18.42578125" customWidth="1"/>
    <col min="53" max="54" width="21.85546875" customWidth="1"/>
    <col min="55" max="55" width="75.140625" customWidth="1"/>
    <col min="56" max="256" width="11.42578125" customWidth="1"/>
  </cols>
  <sheetData>
    <row r="1" spans="1:55" ht="40.5" customHeight="1">
      <c r="A1" s="397">
        <f ca="1">NOW()</f>
        <v>43132.711899189817</v>
      </c>
      <c r="B1" s="398"/>
      <c r="C1" s="398"/>
      <c r="D1" s="398"/>
      <c r="E1" s="398"/>
      <c r="F1" s="398"/>
      <c r="G1" s="398"/>
      <c r="H1" s="398"/>
      <c r="I1" s="398"/>
      <c r="J1" s="398"/>
      <c r="K1" s="398"/>
      <c r="L1" s="398"/>
      <c r="M1" s="398"/>
      <c r="N1" s="398"/>
      <c r="O1" s="398"/>
      <c r="P1" s="398"/>
      <c r="Q1" s="398"/>
      <c r="R1" s="398"/>
      <c r="S1" s="398"/>
      <c r="T1" s="398"/>
      <c r="U1" s="398"/>
      <c r="V1" s="398"/>
      <c r="W1" s="398"/>
      <c r="X1" s="398"/>
      <c r="Y1" s="398"/>
    </row>
    <row r="2" spans="1:55" ht="40.5" customHeight="1">
      <c r="A2" s="399" t="s">
        <v>0</v>
      </c>
      <c r="B2" s="399"/>
      <c r="C2" s="399"/>
      <c r="D2" s="399"/>
      <c r="E2" s="399"/>
      <c r="F2" s="399"/>
      <c r="G2" s="399"/>
      <c r="H2" s="399"/>
      <c r="I2" s="399"/>
      <c r="J2" s="399"/>
      <c r="K2" s="399"/>
      <c r="L2" s="399"/>
      <c r="M2" s="399"/>
      <c r="N2" s="399"/>
      <c r="O2" s="399"/>
      <c r="P2" s="399"/>
      <c r="Q2" s="399"/>
      <c r="R2" s="399"/>
      <c r="S2" s="399"/>
      <c r="T2" s="399"/>
      <c r="U2" s="399"/>
      <c r="V2" s="399"/>
      <c r="W2" s="399"/>
      <c r="X2" s="399"/>
      <c r="Y2" s="399"/>
    </row>
    <row r="3" spans="1:55" ht="36.75" customHeight="1">
      <c r="A3" s="69" t="s">
        <v>1</v>
      </c>
      <c r="B3" s="100">
        <v>2017</v>
      </c>
      <c r="C3" s="67"/>
      <c r="D3" s="67"/>
      <c r="E3" s="67"/>
      <c r="F3" s="67"/>
      <c r="G3" s="67"/>
      <c r="H3" s="67"/>
      <c r="I3" s="67"/>
      <c r="J3" s="67"/>
      <c r="K3" s="67"/>
      <c r="L3" s="67"/>
      <c r="M3" s="67"/>
      <c r="N3" s="67"/>
      <c r="O3" s="67"/>
      <c r="P3" s="67"/>
      <c r="Q3" s="67"/>
      <c r="R3" s="67"/>
      <c r="S3" s="67"/>
      <c r="T3" s="67"/>
      <c r="U3" s="67"/>
      <c r="V3" s="67"/>
      <c r="W3" s="67"/>
      <c r="X3" s="67"/>
      <c r="Y3" s="68"/>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36.75" customHeight="1">
      <c r="A4" s="69" t="s">
        <v>2</v>
      </c>
      <c r="B4" s="100"/>
      <c r="C4" s="67"/>
      <c r="D4" s="67"/>
      <c r="E4" s="67"/>
      <c r="F4" s="67"/>
      <c r="G4" s="67"/>
      <c r="H4" s="67"/>
      <c r="I4" s="67"/>
      <c r="J4" s="67"/>
      <c r="K4" s="67"/>
      <c r="L4" s="67"/>
      <c r="M4" s="67"/>
      <c r="N4" s="67"/>
      <c r="O4" s="67"/>
      <c r="P4" s="67"/>
      <c r="Q4" s="67"/>
      <c r="R4" s="67"/>
      <c r="S4" s="67"/>
      <c r="T4" s="67"/>
      <c r="U4" s="67"/>
      <c r="V4" s="67"/>
      <c r="W4" s="67"/>
      <c r="X4" s="67"/>
      <c r="Y4" s="68"/>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36.75" customHeight="1">
      <c r="A5" s="69" t="s">
        <v>3</v>
      </c>
      <c r="B5" s="100"/>
      <c r="C5" s="67"/>
      <c r="D5" s="67"/>
      <c r="E5" s="67"/>
      <c r="F5" s="67"/>
      <c r="G5" s="67"/>
      <c r="H5" s="67"/>
      <c r="I5" s="67"/>
      <c r="J5" s="67"/>
      <c r="K5" s="67"/>
      <c r="L5" s="67"/>
      <c r="M5" s="67"/>
      <c r="N5" s="67"/>
      <c r="O5" s="67"/>
      <c r="P5" s="67"/>
      <c r="Q5" s="67"/>
      <c r="R5" s="67"/>
      <c r="S5" s="67"/>
      <c r="T5" s="67"/>
      <c r="U5" s="67"/>
      <c r="V5" s="67"/>
      <c r="W5" s="67"/>
      <c r="X5" s="67"/>
      <c r="Y5" s="68"/>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36.75" customHeight="1">
      <c r="A6" s="69" t="s">
        <v>4</v>
      </c>
      <c r="B6" s="100"/>
      <c r="C6" s="67"/>
      <c r="D6" s="67"/>
      <c r="E6" s="67"/>
      <c r="F6" s="67"/>
      <c r="G6" s="67"/>
      <c r="H6" s="67"/>
      <c r="I6" s="67"/>
      <c r="J6" s="67"/>
      <c r="K6" s="67"/>
      <c r="L6" s="67"/>
      <c r="M6" s="67"/>
      <c r="N6" s="67"/>
      <c r="O6" s="67"/>
      <c r="P6" s="67"/>
      <c r="Q6" s="67"/>
      <c r="R6" s="67"/>
      <c r="S6" s="67"/>
      <c r="T6" s="67"/>
      <c r="U6" s="67"/>
      <c r="V6" s="67"/>
      <c r="W6" s="67"/>
      <c r="X6" s="67"/>
      <c r="Y6" s="68"/>
      <c r="Z6" s="3"/>
      <c r="AA6" s="23"/>
      <c r="AB6" s="23"/>
      <c r="AC6" s="23"/>
      <c r="AD6" s="23"/>
      <c r="AE6" s="23"/>
      <c r="AF6" s="3"/>
      <c r="AG6" s="23"/>
      <c r="AH6" s="23"/>
      <c r="AI6" s="23"/>
      <c r="AJ6" s="23"/>
      <c r="AK6" s="23"/>
      <c r="AL6" s="3"/>
      <c r="AM6" s="23"/>
      <c r="AN6" s="23"/>
      <c r="AO6" s="23"/>
      <c r="AP6" s="23"/>
      <c r="AQ6" s="23"/>
      <c r="AR6" s="3"/>
      <c r="AS6" s="23"/>
      <c r="AT6" s="23"/>
      <c r="AU6" s="23"/>
      <c r="AV6" s="23"/>
      <c r="AW6" s="23"/>
      <c r="AX6" s="3"/>
      <c r="AY6" s="23"/>
      <c r="AZ6" s="23"/>
      <c r="BA6" s="23"/>
      <c r="BB6" s="23"/>
      <c r="BC6" s="23"/>
    </row>
    <row r="7" spans="1:55" ht="36.75" customHeight="1">
      <c r="A7" s="69" t="s">
        <v>5</v>
      </c>
      <c r="B7" s="100"/>
      <c r="C7" s="67"/>
      <c r="D7" s="67"/>
      <c r="E7" s="67"/>
      <c r="F7" s="67"/>
      <c r="G7" s="67"/>
      <c r="H7" s="67"/>
      <c r="I7" s="67"/>
      <c r="J7" s="67"/>
      <c r="K7" s="67"/>
      <c r="L7" s="67"/>
      <c r="M7" s="67"/>
      <c r="N7" s="67"/>
      <c r="O7" s="67"/>
      <c r="P7" s="67"/>
      <c r="Q7" s="67"/>
      <c r="R7" s="67"/>
      <c r="S7" s="67"/>
      <c r="T7" s="67"/>
      <c r="U7" s="67"/>
      <c r="V7" s="67"/>
      <c r="W7" s="67"/>
      <c r="X7" s="67"/>
      <c r="Y7" s="68"/>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row>
    <row r="8" spans="1:55">
      <c r="A8" s="2"/>
      <c r="B8" s="3"/>
      <c r="C8" s="3"/>
      <c r="D8" s="3"/>
      <c r="E8" s="3"/>
      <c r="F8" s="3"/>
      <c r="G8" s="3"/>
      <c r="H8" s="3"/>
      <c r="I8" s="3"/>
      <c r="J8" s="3"/>
      <c r="K8" s="3"/>
      <c r="L8" s="3"/>
      <c r="M8" s="3"/>
      <c r="N8" s="3"/>
      <c r="O8" s="3"/>
      <c r="P8" s="3"/>
      <c r="Q8" s="1"/>
      <c r="R8" s="1"/>
      <c r="S8" s="1"/>
      <c r="T8" s="1"/>
      <c r="U8" s="1"/>
      <c r="V8" s="1"/>
      <c r="W8" s="1"/>
      <c r="X8" s="1"/>
      <c r="Y8" s="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row>
    <row r="9" spans="1:55">
      <c r="A9" s="3"/>
      <c r="B9" s="3"/>
      <c r="C9" s="3"/>
      <c r="D9" s="403"/>
      <c r="E9" s="403"/>
      <c r="F9" s="403"/>
      <c r="G9" s="403"/>
      <c r="H9" s="403"/>
      <c r="I9" s="403"/>
      <c r="J9" s="403"/>
      <c r="K9" s="403"/>
      <c r="L9" s="403"/>
      <c r="M9" s="403"/>
      <c r="N9" s="403"/>
      <c r="O9" s="403"/>
      <c r="P9" s="403"/>
      <c r="Q9" s="403"/>
      <c r="R9" s="403"/>
      <c r="S9" s="403"/>
      <c r="T9" s="10"/>
      <c r="U9" s="1"/>
      <c r="V9" s="1"/>
      <c r="W9" s="1"/>
      <c r="X9" s="1"/>
      <c r="Y9" s="1"/>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row>
    <row r="10" spans="1:55">
      <c r="A10" s="4"/>
      <c r="B10" s="1"/>
      <c r="C10" s="1"/>
      <c r="D10" s="404"/>
      <c r="E10" s="404"/>
      <c r="F10" s="404"/>
      <c r="G10" s="404"/>
      <c r="H10" s="404"/>
      <c r="I10" s="404"/>
      <c r="J10" s="404"/>
      <c r="K10" s="404"/>
      <c r="L10" s="370"/>
      <c r="M10" s="370"/>
      <c r="N10" s="370"/>
      <c r="O10" s="370"/>
      <c r="P10" s="345"/>
      <c r="Q10" s="345"/>
      <c r="R10" s="345"/>
      <c r="S10" s="345"/>
      <c r="T10" s="345"/>
      <c r="U10" s="1"/>
      <c r="V10" s="1"/>
      <c r="W10" s="1"/>
      <c r="X10" s="1"/>
      <c r="Y10" s="1"/>
      <c r="Z10" s="370"/>
      <c r="AA10" s="370"/>
      <c r="AB10" s="370"/>
      <c r="AC10" s="344"/>
      <c r="AD10" s="344"/>
      <c r="AE10" s="344"/>
      <c r="AF10" s="370"/>
      <c r="AG10" s="370"/>
      <c r="AH10" s="370"/>
      <c r="AI10" s="344"/>
      <c r="AJ10" s="344"/>
      <c r="AK10" s="344"/>
      <c r="AL10" s="370"/>
      <c r="AM10" s="370"/>
      <c r="AN10" s="370"/>
      <c r="AO10" s="344"/>
      <c r="AP10" s="344"/>
      <c r="AQ10" s="344"/>
      <c r="AR10" s="370"/>
      <c r="AS10" s="370"/>
      <c r="AT10" s="370"/>
      <c r="AU10" s="344"/>
      <c r="AV10" s="344"/>
      <c r="AW10" s="344"/>
      <c r="AX10" s="370"/>
      <c r="AY10" s="370"/>
      <c r="AZ10" s="370"/>
      <c r="BA10" s="344"/>
      <c r="BB10" s="344"/>
      <c r="BC10" s="344"/>
    </row>
    <row r="11" spans="1:55" ht="15.75" thickBot="1">
      <c r="A11" s="1"/>
      <c r="B11" s="1"/>
      <c r="C11" s="1"/>
      <c r="D11" s="1"/>
      <c r="E11" s="1"/>
      <c r="F11" s="1"/>
      <c r="G11" s="1"/>
      <c r="H11" s="1"/>
      <c r="I11" s="1"/>
      <c r="J11" s="1"/>
      <c r="K11" s="1"/>
      <c r="L11" s="1"/>
      <c r="M11" s="1"/>
      <c r="N11" s="1"/>
      <c r="O11" s="1"/>
      <c r="P11" s="1"/>
      <c r="Q11" s="1"/>
      <c r="R11" s="1"/>
      <c r="S11" s="1"/>
      <c r="T11" s="1"/>
      <c r="U11" s="1"/>
      <c r="V11" s="1"/>
      <c r="W11" s="1"/>
      <c r="X11" s="1"/>
      <c r="Y11" s="1"/>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row>
    <row r="12" spans="1:55" ht="15" customHeight="1">
      <c r="A12" s="380" t="s">
        <v>6</v>
      </c>
      <c r="B12" s="381"/>
      <c r="C12" s="142"/>
      <c r="D12" s="412"/>
      <c r="E12" s="413"/>
      <c r="F12" s="413"/>
      <c r="G12" s="413"/>
      <c r="H12" s="413"/>
      <c r="I12" s="413"/>
      <c r="J12" s="413"/>
      <c r="K12" s="413"/>
      <c r="L12" s="413"/>
      <c r="M12" s="413"/>
      <c r="N12" s="413"/>
      <c r="O12" s="413"/>
      <c r="P12" s="413"/>
      <c r="Q12" s="413"/>
      <c r="R12" s="413"/>
      <c r="S12" s="413"/>
      <c r="T12" s="413"/>
      <c r="U12" s="413"/>
      <c r="V12" s="413"/>
      <c r="W12" s="413"/>
      <c r="X12" s="413"/>
      <c r="Y12" s="413"/>
      <c r="Z12" s="371" t="s">
        <v>7</v>
      </c>
      <c r="AA12" s="371"/>
      <c r="AB12" s="371"/>
      <c r="AC12" s="371"/>
      <c r="AD12" s="371"/>
      <c r="AE12" s="371"/>
      <c r="AF12" s="373" t="s">
        <v>7</v>
      </c>
      <c r="AG12" s="373"/>
      <c r="AH12" s="373"/>
      <c r="AI12" s="373"/>
      <c r="AJ12" s="373"/>
      <c r="AK12" s="373"/>
      <c r="AL12" s="371" t="s">
        <v>7</v>
      </c>
      <c r="AM12" s="371"/>
      <c r="AN12" s="371"/>
      <c r="AO12" s="371"/>
      <c r="AP12" s="371"/>
      <c r="AQ12" s="371"/>
      <c r="AR12" s="372" t="s">
        <v>7</v>
      </c>
      <c r="AS12" s="372"/>
      <c r="AT12" s="372"/>
      <c r="AU12" s="372"/>
      <c r="AV12" s="372"/>
      <c r="AW12" s="372"/>
      <c r="AX12" s="362" t="s">
        <v>7</v>
      </c>
      <c r="AY12" s="362"/>
      <c r="AZ12" s="362"/>
      <c r="BA12" s="362"/>
      <c r="BB12" s="362"/>
      <c r="BC12" s="362"/>
    </row>
    <row r="13" spans="1:55" ht="15.75" thickBot="1">
      <c r="A13" s="382"/>
      <c r="B13" s="383"/>
      <c r="C13" s="143"/>
      <c r="D13" s="414"/>
      <c r="E13" s="415"/>
      <c r="F13" s="415"/>
      <c r="G13" s="415"/>
      <c r="H13" s="415"/>
      <c r="I13" s="415"/>
      <c r="J13" s="415"/>
      <c r="K13" s="415"/>
      <c r="L13" s="415"/>
      <c r="M13" s="415"/>
      <c r="N13" s="415"/>
      <c r="O13" s="415"/>
      <c r="P13" s="415"/>
      <c r="Q13" s="415"/>
      <c r="R13" s="415"/>
      <c r="S13" s="415"/>
      <c r="T13" s="415"/>
      <c r="U13" s="415"/>
      <c r="V13" s="415"/>
      <c r="W13" s="415"/>
      <c r="X13" s="415"/>
      <c r="Y13" s="415"/>
      <c r="Z13" s="367" t="s">
        <v>8</v>
      </c>
      <c r="AA13" s="367"/>
      <c r="AB13" s="367"/>
      <c r="AC13" s="367"/>
      <c r="AD13" s="367"/>
      <c r="AE13" s="367"/>
      <c r="AF13" s="405" t="s">
        <v>9</v>
      </c>
      <c r="AG13" s="405"/>
      <c r="AH13" s="405"/>
      <c r="AI13" s="405"/>
      <c r="AJ13" s="405"/>
      <c r="AK13" s="405"/>
      <c r="AL13" s="367" t="s">
        <v>10</v>
      </c>
      <c r="AM13" s="367"/>
      <c r="AN13" s="367"/>
      <c r="AO13" s="367"/>
      <c r="AP13" s="367"/>
      <c r="AQ13" s="367"/>
      <c r="AR13" s="368" t="s">
        <v>11</v>
      </c>
      <c r="AS13" s="368"/>
      <c r="AT13" s="368"/>
      <c r="AU13" s="368"/>
      <c r="AV13" s="368"/>
      <c r="AW13" s="368"/>
      <c r="AX13" s="369" t="s">
        <v>12</v>
      </c>
      <c r="AY13" s="369"/>
      <c r="AZ13" s="369"/>
      <c r="BA13" s="369"/>
      <c r="BB13" s="369"/>
      <c r="BC13" s="369"/>
    </row>
    <row r="14" spans="1:55" ht="15" customHeight="1" thickBot="1">
      <c r="A14" s="384"/>
      <c r="B14" s="385"/>
      <c r="C14" s="143"/>
      <c r="D14" s="418" t="s">
        <v>13</v>
      </c>
      <c r="E14" s="419"/>
      <c r="F14" s="418"/>
      <c r="G14" s="418"/>
      <c r="H14" s="418"/>
      <c r="I14" s="418"/>
      <c r="J14" s="418"/>
      <c r="K14" s="418"/>
      <c r="L14" s="418"/>
      <c r="M14" s="418"/>
      <c r="N14" s="418"/>
      <c r="O14" s="418"/>
      <c r="P14" s="418"/>
      <c r="Q14" s="418"/>
      <c r="R14" s="418"/>
      <c r="S14" s="420"/>
      <c r="T14" s="353"/>
      <c r="U14" s="400" t="s">
        <v>14</v>
      </c>
      <c r="V14" s="400"/>
      <c r="W14" s="400"/>
      <c r="X14" s="400"/>
      <c r="Y14" s="400"/>
      <c r="Z14" s="365" t="s">
        <v>15</v>
      </c>
      <c r="AA14" s="365"/>
      <c r="AB14" s="365"/>
      <c r="AC14" s="407" t="s">
        <v>16</v>
      </c>
      <c r="AD14" s="365" t="s">
        <v>17</v>
      </c>
      <c r="AE14" s="365" t="s">
        <v>18</v>
      </c>
      <c r="AF14" s="401" t="s">
        <v>15</v>
      </c>
      <c r="AG14" s="401"/>
      <c r="AH14" s="401"/>
      <c r="AI14" s="401" t="s">
        <v>16</v>
      </c>
      <c r="AJ14" s="401" t="s">
        <v>17</v>
      </c>
      <c r="AK14" s="401" t="s">
        <v>18</v>
      </c>
      <c r="AL14" s="365" t="s">
        <v>15</v>
      </c>
      <c r="AM14" s="365"/>
      <c r="AN14" s="365"/>
      <c r="AO14" s="365" t="s">
        <v>16</v>
      </c>
      <c r="AP14" s="365" t="s">
        <v>17</v>
      </c>
      <c r="AQ14" s="365" t="s">
        <v>18</v>
      </c>
      <c r="AR14" s="359" t="s">
        <v>15</v>
      </c>
      <c r="AS14" s="359"/>
      <c r="AT14" s="359"/>
      <c r="AU14" s="359" t="s">
        <v>16</v>
      </c>
      <c r="AV14" s="359" t="s">
        <v>17</v>
      </c>
      <c r="AW14" s="359" t="s">
        <v>18</v>
      </c>
      <c r="AX14" s="355" t="s">
        <v>15</v>
      </c>
      <c r="AY14" s="355"/>
      <c r="AZ14" s="355"/>
      <c r="BA14" s="355" t="s">
        <v>16</v>
      </c>
      <c r="BB14" s="333"/>
      <c r="BC14" s="357" t="s">
        <v>19</v>
      </c>
    </row>
    <row r="15" spans="1:55" ht="51.75" thickBot="1">
      <c r="A15" s="120" t="s">
        <v>20</v>
      </c>
      <c r="B15" s="121" t="s">
        <v>21</v>
      </c>
      <c r="C15" s="439" t="s">
        <v>22</v>
      </c>
      <c r="D15" s="197" t="s">
        <v>23</v>
      </c>
      <c r="E15" s="239" t="s">
        <v>24</v>
      </c>
      <c r="F15" s="106" t="s">
        <v>25</v>
      </c>
      <c r="G15" s="5" t="s">
        <v>26</v>
      </c>
      <c r="H15" s="5" t="s">
        <v>27</v>
      </c>
      <c r="I15" s="5" t="s">
        <v>28</v>
      </c>
      <c r="J15" s="5" t="s">
        <v>29</v>
      </c>
      <c r="K15" s="5" t="s">
        <v>30</v>
      </c>
      <c r="L15" s="5" t="s">
        <v>31</v>
      </c>
      <c r="M15" s="5" t="s">
        <v>32</v>
      </c>
      <c r="N15" s="5" t="s">
        <v>33</v>
      </c>
      <c r="O15" s="5" t="s">
        <v>34</v>
      </c>
      <c r="P15" s="5" t="s">
        <v>35</v>
      </c>
      <c r="Q15" s="5" t="s">
        <v>36</v>
      </c>
      <c r="R15" s="5" t="s">
        <v>37</v>
      </c>
      <c r="S15" s="5" t="s">
        <v>38</v>
      </c>
      <c r="T15" s="5" t="s">
        <v>39</v>
      </c>
      <c r="U15" s="351" t="s">
        <v>40</v>
      </c>
      <c r="V15" s="351" t="s">
        <v>41</v>
      </c>
      <c r="W15" s="389" t="s">
        <v>42</v>
      </c>
      <c r="X15" s="390"/>
      <c r="Y15" s="351" t="s">
        <v>43</v>
      </c>
      <c r="Z15" s="354" t="s">
        <v>26</v>
      </c>
      <c r="AA15" s="348" t="s">
        <v>44</v>
      </c>
      <c r="AB15" s="348" t="s">
        <v>45</v>
      </c>
      <c r="AC15" s="408"/>
      <c r="AD15" s="366"/>
      <c r="AE15" s="366"/>
      <c r="AF15" s="351" t="s">
        <v>26</v>
      </c>
      <c r="AG15" s="351" t="s">
        <v>44</v>
      </c>
      <c r="AH15" s="351" t="s">
        <v>45</v>
      </c>
      <c r="AI15" s="402"/>
      <c r="AJ15" s="402"/>
      <c r="AK15" s="402"/>
      <c r="AL15" s="348" t="s">
        <v>26</v>
      </c>
      <c r="AM15" s="348" t="s">
        <v>44</v>
      </c>
      <c r="AN15" s="348" t="s">
        <v>45</v>
      </c>
      <c r="AO15" s="366"/>
      <c r="AP15" s="366"/>
      <c r="AQ15" s="366"/>
      <c r="AR15" s="347" t="s">
        <v>26</v>
      </c>
      <c r="AS15" s="347" t="s">
        <v>44</v>
      </c>
      <c r="AT15" s="347" t="s">
        <v>45</v>
      </c>
      <c r="AU15" s="360"/>
      <c r="AV15" s="360"/>
      <c r="AW15" s="360"/>
      <c r="AX15" s="346" t="s">
        <v>26</v>
      </c>
      <c r="AY15" s="346" t="s">
        <v>44</v>
      </c>
      <c r="AZ15" s="346" t="s">
        <v>45</v>
      </c>
      <c r="BA15" s="356"/>
      <c r="BB15" s="334" t="s">
        <v>46</v>
      </c>
      <c r="BC15" s="358"/>
    </row>
    <row r="16" spans="1:55" ht="15.75" thickBot="1">
      <c r="A16" s="118"/>
      <c r="B16" s="119"/>
      <c r="C16" s="440"/>
      <c r="D16" s="198" t="s">
        <v>47</v>
      </c>
      <c r="E16" s="240"/>
      <c r="F16" s="107" t="s">
        <v>47</v>
      </c>
      <c r="G16" s="47" t="s">
        <v>47</v>
      </c>
      <c r="H16" s="47" t="s">
        <v>47</v>
      </c>
      <c r="I16" s="47" t="s">
        <v>47</v>
      </c>
      <c r="J16" s="47" t="s">
        <v>47</v>
      </c>
      <c r="K16" s="47" t="s">
        <v>47</v>
      </c>
      <c r="L16" s="48" t="s">
        <v>47</v>
      </c>
      <c r="M16" s="48" t="s">
        <v>47</v>
      </c>
      <c r="N16" s="48" t="s">
        <v>47</v>
      </c>
      <c r="O16" s="48" t="s">
        <v>47</v>
      </c>
      <c r="P16" s="47" t="s">
        <v>47</v>
      </c>
      <c r="Q16" s="47" t="s">
        <v>47</v>
      </c>
      <c r="R16" s="47" t="s">
        <v>47</v>
      </c>
      <c r="S16" s="47" t="s">
        <v>47</v>
      </c>
      <c r="T16" s="47"/>
      <c r="U16" s="6" t="s">
        <v>48</v>
      </c>
      <c r="V16" s="6" t="s">
        <v>47</v>
      </c>
      <c r="W16" s="6" t="s">
        <v>49</v>
      </c>
      <c r="X16" s="6" t="s">
        <v>50</v>
      </c>
      <c r="Y16" s="6" t="s">
        <v>47</v>
      </c>
      <c r="Z16" s="108" t="s">
        <v>47</v>
      </c>
      <c r="AA16" s="108" t="s">
        <v>47</v>
      </c>
      <c r="AB16" s="108"/>
      <c r="AC16" s="109" t="s">
        <v>47</v>
      </c>
      <c r="AD16" s="108" t="s">
        <v>47</v>
      </c>
      <c r="AE16" s="108" t="s">
        <v>47</v>
      </c>
      <c r="AF16" s="6" t="s">
        <v>47</v>
      </c>
      <c r="AG16" s="6" t="s">
        <v>47</v>
      </c>
      <c r="AH16" s="6" t="s">
        <v>47</v>
      </c>
      <c r="AI16" s="6" t="s">
        <v>47</v>
      </c>
      <c r="AJ16" s="6" t="s">
        <v>47</v>
      </c>
      <c r="AK16" s="6" t="s">
        <v>47</v>
      </c>
      <c r="AL16" s="108" t="s">
        <v>47</v>
      </c>
      <c r="AM16" s="108" t="s">
        <v>47</v>
      </c>
      <c r="AN16" s="108" t="s">
        <v>47</v>
      </c>
      <c r="AO16" s="108"/>
      <c r="AP16" s="108" t="s">
        <v>47</v>
      </c>
      <c r="AQ16" s="108" t="s">
        <v>47</v>
      </c>
      <c r="AR16" s="110" t="s">
        <v>47</v>
      </c>
      <c r="AS16" s="110" t="s">
        <v>47</v>
      </c>
      <c r="AT16" s="110" t="s">
        <v>47</v>
      </c>
      <c r="AU16" s="110" t="s">
        <v>47</v>
      </c>
      <c r="AV16" s="110" t="s">
        <v>47</v>
      </c>
      <c r="AW16" s="110" t="s">
        <v>47</v>
      </c>
      <c r="AX16" s="111" t="s">
        <v>47</v>
      </c>
      <c r="AY16" s="111"/>
      <c r="AZ16" s="111" t="s">
        <v>47</v>
      </c>
      <c r="BA16" s="111" t="s">
        <v>47</v>
      </c>
      <c r="BB16" s="335"/>
      <c r="BC16" s="112" t="s">
        <v>47</v>
      </c>
    </row>
    <row r="17" spans="1:55" ht="323.25" customHeight="1" thickBot="1">
      <c r="A17" s="124">
        <v>1</v>
      </c>
      <c r="B17" s="435" t="s">
        <v>51</v>
      </c>
      <c r="C17" s="386" t="s">
        <v>52</v>
      </c>
      <c r="D17" s="268" t="s">
        <v>53</v>
      </c>
      <c r="E17" s="290">
        <v>0.04</v>
      </c>
      <c r="F17" s="226" t="s">
        <v>54</v>
      </c>
      <c r="G17" s="58" t="s">
        <v>55</v>
      </c>
      <c r="H17" s="58" t="s">
        <v>56</v>
      </c>
      <c r="I17" s="84"/>
      <c r="J17" s="288" t="s">
        <v>57</v>
      </c>
      <c r="K17" s="84" t="s">
        <v>58</v>
      </c>
      <c r="L17" s="92">
        <v>0</v>
      </c>
      <c r="M17" s="86">
        <v>0.45</v>
      </c>
      <c r="N17" s="86">
        <v>0</v>
      </c>
      <c r="O17" s="86">
        <v>0.45</v>
      </c>
      <c r="P17" s="86">
        <f>SUM(L17:O17)</f>
        <v>0.9</v>
      </c>
      <c r="Q17" s="84" t="s">
        <v>59</v>
      </c>
      <c r="R17" s="84" t="s">
        <v>60</v>
      </c>
      <c r="S17" s="84" t="s">
        <v>61</v>
      </c>
      <c r="T17" s="84" t="s">
        <v>62</v>
      </c>
      <c r="U17" s="84"/>
      <c r="V17" s="84"/>
      <c r="W17" s="84"/>
      <c r="X17" s="87"/>
      <c r="Y17" s="88"/>
      <c r="Z17" s="85" t="str">
        <f>G17</f>
        <v>Ejecución plan de acción del CLG</v>
      </c>
      <c r="AA17" s="94">
        <f>L17</f>
        <v>0</v>
      </c>
      <c r="AB17" s="92">
        <v>0</v>
      </c>
      <c r="AC17" s="320"/>
      <c r="AD17" s="84" t="s">
        <v>63</v>
      </c>
      <c r="AE17" s="321" t="s">
        <v>64</v>
      </c>
      <c r="AF17" s="85" t="str">
        <f>G17</f>
        <v>Ejecución plan de acción del CLG</v>
      </c>
      <c r="AG17" s="91">
        <f>M17</f>
        <v>0.45</v>
      </c>
      <c r="AH17" s="92">
        <v>0</v>
      </c>
      <c r="AI17" s="89">
        <f>(AH17/AG17)</f>
        <v>0</v>
      </c>
      <c r="AJ17" s="321" t="s">
        <v>65</v>
      </c>
      <c r="AK17" s="321" t="s">
        <v>66</v>
      </c>
      <c r="AL17" s="85" t="str">
        <f>G17</f>
        <v>Ejecución plan de acción del CLG</v>
      </c>
      <c r="AM17" s="85">
        <f>N17</f>
        <v>0</v>
      </c>
      <c r="AN17" s="92">
        <f>11/18</f>
        <v>0.61111111111111116</v>
      </c>
      <c r="AO17" s="89">
        <v>1</v>
      </c>
      <c r="AP17" s="321" t="s">
        <v>67</v>
      </c>
      <c r="AQ17" s="84" t="s">
        <v>66</v>
      </c>
      <c r="AR17" s="85" t="str">
        <f>G17</f>
        <v>Ejecución plan de acción del CLG</v>
      </c>
      <c r="AS17" s="94">
        <f>O17</f>
        <v>0.45</v>
      </c>
      <c r="AT17" s="86">
        <f>7/21</f>
        <v>0.33333333333333331</v>
      </c>
      <c r="AU17" s="89">
        <f>(AT17/AS17)</f>
        <v>0.7407407407407407</v>
      </c>
      <c r="AV17" s="113" t="s">
        <v>68</v>
      </c>
      <c r="AW17" s="84" t="s">
        <v>66</v>
      </c>
      <c r="AX17" s="85" t="str">
        <f>G17</f>
        <v>Ejecución plan de acción del CLG</v>
      </c>
      <c r="AY17" s="94">
        <f>P17</f>
        <v>0.9</v>
      </c>
      <c r="AZ17" s="94">
        <f>IF(J17="CONSTANTE",AVERAGE(AB17,AH17,AN17,AT17),(SUM(AB17,AH17,AN17,AT17)))</f>
        <v>0.94444444444444442</v>
      </c>
      <c r="BA17" s="93">
        <v>1</v>
      </c>
      <c r="BB17" s="336">
        <f>BA17*E17</f>
        <v>0.04</v>
      </c>
      <c r="BC17" s="114" t="s">
        <v>69</v>
      </c>
    </row>
    <row r="18" spans="1:55" ht="93" customHeight="1" thickBot="1">
      <c r="A18" s="125">
        <v>2</v>
      </c>
      <c r="B18" s="436"/>
      <c r="C18" s="387"/>
      <c r="D18" s="199" t="s">
        <v>70</v>
      </c>
      <c r="E18" s="291">
        <v>0.1</v>
      </c>
      <c r="F18" s="227" t="s">
        <v>54</v>
      </c>
      <c r="G18" s="71" t="s">
        <v>71</v>
      </c>
      <c r="H18" s="144" t="s">
        <v>72</v>
      </c>
      <c r="I18" s="53"/>
      <c r="J18" s="78" t="s">
        <v>57</v>
      </c>
      <c r="K18" s="51" t="s">
        <v>73</v>
      </c>
      <c r="L18" s="56">
        <v>0</v>
      </c>
      <c r="M18" s="56">
        <v>1</v>
      </c>
      <c r="N18" s="56">
        <v>0</v>
      </c>
      <c r="O18" s="56">
        <v>0</v>
      </c>
      <c r="P18" s="289">
        <v>1</v>
      </c>
      <c r="Q18" s="51" t="s">
        <v>59</v>
      </c>
      <c r="R18" s="51" t="s">
        <v>74</v>
      </c>
      <c r="S18" s="51" t="s">
        <v>75</v>
      </c>
      <c r="T18" s="51" t="s">
        <v>62</v>
      </c>
      <c r="U18" s="51"/>
      <c r="V18" s="51"/>
      <c r="W18" s="51"/>
      <c r="X18" s="62"/>
      <c r="Y18" s="55"/>
      <c r="Z18" s="85" t="str">
        <f t="shared" ref="Z18:Z70" si="0">G18</f>
        <v>Avance del cumplimiento físico logrado en el plan de desarrollo</v>
      </c>
      <c r="AA18" s="85">
        <f>L18</f>
        <v>0</v>
      </c>
      <c r="AB18" s="84">
        <v>0</v>
      </c>
      <c r="AC18" s="89"/>
      <c r="AD18" s="90" t="s">
        <v>76</v>
      </c>
      <c r="AE18" s="84" t="s">
        <v>63</v>
      </c>
      <c r="AF18" s="85" t="str">
        <f t="shared" ref="AF18:AF70" si="1">G18</f>
        <v>Avance del cumplimiento físico logrado en el plan de desarrollo</v>
      </c>
      <c r="AG18" s="91">
        <f t="shared" ref="AG18:AG58" si="2">M18</f>
        <v>1</v>
      </c>
      <c r="AH18" s="322">
        <v>1</v>
      </c>
      <c r="AI18" s="89">
        <f>(AH18/AG18)</f>
        <v>1</v>
      </c>
      <c r="AJ18" s="321" t="s">
        <v>77</v>
      </c>
      <c r="AK18" s="321" t="s">
        <v>78</v>
      </c>
      <c r="AL18" s="85" t="str">
        <f t="shared" ref="AL18:AL62" si="3">G18</f>
        <v>Avance del cumplimiento físico logrado en el plan de desarrollo</v>
      </c>
      <c r="AM18" s="84">
        <v>0</v>
      </c>
      <c r="AN18" s="84">
        <v>0</v>
      </c>
      <c r="AO18" s="89"/>
      <c r="AP18" s="90" t="s">
        <v>76</v>
      </c>
      <c r="AQ18" s="84" t="s">
        <v>63</v>
      </c>
      <c r="AR18" s="85" t="str">
        <f t="shared" ref="AR18:AR70" si="4">G18</f>
        <v>Avance del cumplimiento físico logrado en el plan de desarrollo</v>
      </c>
      <c r="AS18" s="85">
        <f t="shared" ref="AS18:AS70" si="5">O18</f>
        <v>0</v>
      </c>
      <c r="AT18" s="86"/>
      <c r="AU18" s="89"/>
      <c r="AV18" s="113"/>
      <c r="AW18" s="84"/>
      <c r="AX18" s="85" t="str">
        <f t="shared" ref="AX18:AX70" si="6">G18</f>
        <v>Avance del cumplimiento físico logrado en el plan de desarrollo</v>
      </c>
      <c r="AY18" s="94">
        <f t="shared" ref="AY18:AY70" si="7">P18</f>
        <v>1</v>
      </c>
      <c r="AZ18" s="94">
        <f t="shared" ref="AZ18:AZ51" si="8">IF(J18="CONSTANTE",AVERAGE(AB18,AH18,AN18,AT18),(SUM(AB18,AH18,AN18,AT18)))</f>
        <v>1</v>
      </c>
      <c r="BA18" s="93">
        <f>AZ18/AY18</f>
        <v>1</v>
      </c>
      <c r="BB18" s="336">
        <f>BA18*E18</f>
        <v>0.1</v>
      </c>
      <c r="BC18" s="114" t="s">
        <v>79</v>
      </c>
    </row>
    <row r="19" spans="1:55" ht="109.5" customHeight="1" thickBot="1">
      <c r="A19" s="125">
        <v>3</v>
      </c>
      <c r="B19" s="436"/>
      <c r="C19" s="387"/>
      <c r="D19" s="270" t="s">
        <v>80</v>
      </c>
      <c r="E19" s="292">
        <v>0.04</v>
      </c>
      <c r="F19" s="228" t="s">
        <v>54</v>
      </c>
      <c r="G19" s="148" t="s">
        <v>81</v>
      </c>
      <c r="H19" s="144" t="s">
        <v>82</v>
      </c>
      <c r="I19" s="139"/>
      <c r="J19" s="153" t="s">
        <v>83</v>
      </c>
      <c r="K19" s="138" t="s">
        <v>84</v>
      </c>
      <c r="L19" s="140">
        <v>0</v>
      </c>
      <c r="M19" s="140">
        <v>0</v>
      </c>
      <c r="N19" s="140">
        <v>0</v>
      </c>
      <c r="O19" s="140">
        <v>0.1</v>
      </c>
      <c r="P19" s="52">
        <v>0.1</v>
      </c>
      <c r="Q19" s="138" t="s">
        <v>59</v>
      </c>
      <c r="R19" s="138" t="s">
        <v>85</v>
      </c>
      <c r="S19" s="138" t="s">
        <v>86</v>
      </c>
      <c r="T19" s="138" t="s">
        <v>62</v>
      </c>
      <c r="U19" s="138"/>
      <c r="V19" s="138"/>
      <c r="W19" s="138"/>
      <c r="X19" s="154"/>
      <c r="Y19" s="141"/>
      <c r="Z19" s="85" t="str">
        <f t="shared" si="0"/>
        <v>Ejercicios de Dialogo Social en lo Local</v>
      </c>
      <c r="AA19" s="85">
        <f>L19</f>
        <v>0</v>
      </c>
      <c r="AB19" s="84">
        <v>0</v>
      </c>
      <c r="AC19" s="89"/>
      <c r="AD19" s="90" t="s">
        <v>76</v>
      </c>
      <c r="AE19" s="84" t="s">
        <v>63</v>
      </c>
      <c r="AF19" s="85" t="str">
        <f t="shared" si="1"/>
        <v>Ejercicios de Dialogo Social en lo Local</v>
      </c>
      <c r="AG19" s="91">
        <f t="shared" si="2"/>
        <v>0</v>
      </c>
      <c r="AH19" s="92">
        <v>0</v>
      </c>
      <c r="AI19" s="89"/>
      <c r="AJ19" s="323" t="s">
        <v>87</v>
      </c>
      <c r="AK19" s="84" t="s">
        <v>63</v>
      </c>
      <c r="AL19" s="85" t="str">
        <f t="shared" si="3"/>
        <v>Ejercicios de Dialogo Social en lo Local</v>
      </c>
      <c r="AM19" s="85">
        <f>X19</f>
        <v>0</v>
      </c>
      <c r="AN19" s="84">
        <v>0</v>
      </c>
      <c r="AO19" s="89"/>
      <c r="AP19" s="90" t="s">
        <v>88</v>
      </c>
      <c r="AQ19" s="84" t="s">
        <v>63</v>
      </c>
      <c r="AR19" s="85" t="str">
        <f t="shared" si="4"/>
        <v>Ejercicios de Dialogo Social en lo Local</v>
      </c>
      <c r="AS19" s="94">
        <f t="shared" si="5"/>
        <v>0.1</v>
      </c>
      <c r="AT19" s="86"/>
      <c r="AU19" s="89"/>
      <c r="AV19" s="113"/>
      <c r="AW19" s="84"/>
      <c r="AX19" s="85" t="str">
        <f t="shared" si="6"/>
        <v>Ejercicios de Dialogo Social en lo Local</v>
      </c>
      <c r="AY19" s="94">
        <f t="shared" si="7"/>
        <v>0.1</v>
      </c>
      <c r="AZ19" s="330">
        <v>0.125</v>
      </c>
      <c r="BA19" s="93">
        <v>1</v>
      </c>
      <c r="BB19" s="336">
        <f>BA19*E19</f>
        <v>0.04</v>
      </c>
      <c r="BC19" s="114" t="s">
        <v>89</v>
      </c>
    </row>
    <row r="20" spans="1:55" ht="81.75" customHeight="1" thickBot="1">
      <c r="A20" s="196"/>
      <c r="B20" s="436"/>
      <c r="C20" s="388"/>
      <c r="D20" s="200" t="s">
        <v>90</v>
      </c>
      <c r="E20" s="166">
        <v>0.18</v>
      </c>
      <c r="F20" s="229"/>
      <c r="G20" s="149"/>
      <c r="H20" s="150"/>
      <c r="I20" s="155"/>
      <c r="J20" s="156"/>
      <c r="K20" s="128"/>
      <c r="L20" s="157"/>
      <c r="M20" s="157"/>
      <c r="N20" s="157"/>
      <c r="O20" s="157"/>
      <c r="P20" s="128"/>
      <c r="Q20" s="128"/>
      <c r="R20" s="128"/>
      <c r="S20" s="128"/>
      <c r="T20" s="128"/>
      <c r="U20" s="128"/>
      <c r="V20" s="128"/>
      <c r="W20" s="128"/>
      <c r="X20" s="158"/>
      <c r="Y20" s="159"/>
      <c r="Z20" s="85"/>
      <c r="AA20" s="85"/>
      <c r="AB20" s="84"/>
      <c r="AC20" s="89"/>
      <c r="AD20" s="90"/>
      <c r="AE20" s="90"/>
      <c r="AF20" s="85"/>
      <c r="AG20" s="91"/>
      <c r="AH20" s="92"/>
      <c r="AI20" s="89"/>
      <c r="AJ20" s="84"/>
      <c r="AK20" s="84"/>
      <c r="AL20" s="85"/>
      <c r="AM20" s="85"/>
      <c r="AN20" s="84"/>
      <c r="AO20" s="89"/>
      <c r="AP20" s="84"/>
      <c r="AQ20" s="84"/>
      <c r="AR20" s="85"/>
      <c r="AS20" s="85"/>
      <c r="AT20" s="86"/>
      <c r="AU20" s="89"/>
      <c r="AV20" s="113"/>
      <c r="AW20" s="84"/>
      <c r="AX20" s="85"/>
      <c r="AY20" s="85"/>
      <c r="AZ20" s="94"/>
      <c r="BA20" s="93"/>
      <c r="BB20" s="336">
        <f>SUM(BB17:BB19)</f>
        <v>0.18000000000000002</v>
      </c>
      <c r="BC20" s="114"/>
    </row>
    <row r="21" spans="1:55" ht="390.75" thickBot="1">
      <c r="A21" s="124">
        <v>4</v>
      </c>
      <c r="B21" s="436"/>
      <c r="C21" s="391" t="s">
        <v>91</v>
      </c>
      <c r="D21" s="201" t="s">
        <v>92</v>
      </c>
      <c r="E21" s="293">
        <v>0.01</v>
      </c>
      <c r="F21" s="226" t="s">
        <v>54</v>
      </c>
      <c r="G21" s="101" t="s">
        <v>93</v>
      </c>
      <c r="H21" s="90" t="s">
        <v>94</v>
      </c>
      <c r="I21" s="84"/>
      <c r="J21" s="84" t="s">
        <v>83</v>
      </c>
      <c r="K21" s="84" t="s">
        <v>95</v>
      </c>
      <c r="L21" s="86">
        <v>0</v>
      </c>
      <c r="M21" s="86">
        <v>0</v>
      </c>
      <c r="N21" s="86">
        <v>0</v>
      </c>
      <c r="O21" s="86">
        <v>0.35</v>
      </c>
      <c r="P21" s="86">
        <v>0.35</v>
      </c>
      <c r="Q21" s="84" t="s">
        <v>59</v>
      </c>
      <c r="R21" s="84" t="s">
        <v>96</v>
      </c>
      <c r="S21" s="84" t="s">
        <v>97</v>
      </c>
      <c r="T21" s="84" t="s">
        <v>62</v>
      </c>
      <c r="U21" s="84"/>
      <c r="V21" s="84"/>
      <c r="W21" s="84"/>
      <c r="X21" s="87"/>
      <c r="Y21" s="88"/>
      <c r="Z21" s="85" t="str">
        <f t="shared" si="0"/>
        <v>Implementaciòn del plan de intervenmciòn local</v>
      </c>
      <c r="AA21" s="85">
        <f t="shared" ref="AA21:AA51" si="9">L21</f>
        <v>0</v>
      </c>
      <c r="AB21" s="84"/>
      <c r="AC21" s="89"/>
      <c r="AD21" s="84" t="s">
        <v>63</v>
      </c>
      <c r="AE21" s="90"/>
      <c r="AF21" s="85" t="str">
        <f t="shared" si="1"/>
        <v>Implementaciòn del plan de intervenmciòn local</v>
      </c>
      <c r="AG21" s="91">
        <f t="shared" si="2"/>
        <v>0</v>
      </c>
      <c r="AH21" s="92">
        <v>0</v>
      </c>
      <c r="AI21" s="89"/>
      <c r="AJ21" s="321" t="s">
        <v>98</v>
      </c>
      <c r="AK21" s="84" t="s">
        <v>99</v>
      </c>
      <c r="AL21" s="85" t="str">
        <f t="shared" si="3"/>
        <v>Implementaciòn del plan de intervenmciòn local</v>
      </c>
      <c r="AM21" s="85">
        <f>X21</f>
        <v>0</v>
      </c>
      <c r="AN21" s="84">
        <v>0</v>
      </c>
      <c r="AO21" s="89"/>
      <c r="AP21" s="90" t="s">
        <v>88</v>
      </c>
      <c r="AQ21" s="84" t="s">
        <v>63</v>
      </c>
      <c r="AR21" s="85" t="str">
        <f t="shared" si="4"/>
        <v>Implementaciòn del plan de intervenmciòn local</v>
      </c>
      <c r="AS21" s="94">
        <f t="shared" si="5"/>
        <v>0.35</v>
      </c>
      <c r="AT21" s="86">
        <v>0.35</v>
      </c>
      <c r="AU21" s="89">
        <f>(AT21/AS21)</f>
        <v>1</v>
      </c>
      <c r="AV21" s="113" t="s">
        <v>100</v>
      </c>
      <c r="AW21" s="84" t="s">
        <v>101</v>
      </c>
      <c r="AX21" s="85" t="str">
        <f t="shared" si="6"/>
        <v>Implementaciòn del plan de intervenmciòn local</v>
      </c>
      <c r="AY21" s="94">
        <f t="shared" si="7"/>
        <v>0.35</v>
      </c>
      <c r="AZ21" s="94">
        <f>IF(J21="CONSTANTE",AVERAGE(AB21,AH21,AN21,AT21),(SUM(AB21,AH21,AN21,AT21)))</f>
        <v>0.35</v>
      </c>
      <c r="BA21" s="93">
        <f>AZ21/AY21</f>
        <v>1</v>
      </c>
      <c r="BB21" s="336">
        <f>BA21*E21</f>
        <v>0.01</v>
      </c>
      <c r="BC21" s="114" t="s">
        <v>102</v>
      </c>
    </row>
    <row r="22" spans="1:55" ht="268.5" thickBot="1">
      <c r="A22" s="125">
        <v>5</v>
      </c>
      <c r="B22" s="436"/>
      <c r="C22" s="392"/>
      <c r="D22" s="202" t="s">
        <v>103</v>
      </c>
      <c r="E22" s="296">
        <v>0.05</v>
      </c>
      <c r="F22" s="305" t="s">
        <v>104</v>
      </c>
      <c r="G22" s="306" t="s">
        <v>105</v>
      </c>
      <c r="H22" s="307" t="s">
        <v>106</v>
      </c>
      <c r="I22" s="308">
        <v>6</v>
      </c>
      <c r="J22" s="308" t="s">
        <v>107</v>
      </c>
      <c r="K22" s="308" t="s">
        <v>108</v>
      </c>
      <c r="L22" s="308">
        <v>6</v>
      </c>
      <c r="M22" s="308">
        <v>6</v>
      </c>
      <c r="N22" s="308">
        <v>6</v>
      </c>
      <c r="O22" s="308">
        <v>6</v>
      </c>
      <c r="P22" s="309">
        <v>6</v>
      </c>
      <c r="Q22" s="308" t="s">
        <v>59</v>
      </c>
      <c r="R22" s="308" t="s">
        <v>109</v>
      </c>
      <c r="S22" s="308" t="s">
        <v>97</v>
      </c>
      <c r="T22" s="308" t="s">
        <v>110</v>
      </c>
      <c r="U22" s="310"/>
      <c r="V22" s="310"/>
      <c r="W22" s="310"/>
      <c r="X22" s="311"/>
      <c r="Y22" s="312"/>
      <c r="Z22" s="313" t="str">
        <f t="shared" si="0"/>
        <v>Lineas de acción de DDHH incrementadas</v>
      </c>
      <c r="AA22" s="313">
        <f t="shared" si="9"/>
        <v>6</v>
      </c>
      <c r="AB22" s="314">
        <v>6</v>
      </c>
      <c r="AC22" s="315">
        <f>(AB22/AA22)</f>
        <v>1</v>
      </c>
      <c r="AD22" s="316" t="s">
        <v>111</v>
      </c>
      <c r="AE22" s="316" t="s">
        <v>112</v>
      </c>
      <c r="AF22" s="85" t="str">
        <f t="shared" si="1"/>
        <v>Lineas de acción de DDHH incrementadas</v>
      </c>
      <c r="AG22" s="91">
        <f t="shared" si="2"/>
        <v>6</v>
      </c>
      <c r="AH22" s="91">
        <v>6</v>
      </c>
      <c r="AI22" s="89">
        <f>AG22/AH22</f>
        <v>1</v>
      </c>
      <c r="AJ22" s="316" t="s">
        <v>111</v>
      </c>
      <c r="AK22" s="316" t="s">
        <v>112</v>
      </c>
      <c r="AL22" s="85" t="str">
        <f t="shared" si="3"/>
        <v>Lineas de acción de DDHH incrementadas</v>
      </c>
      <c r="AM22" s="85">
        <f t="shared" ref="AM22:AM62" si="10">N22</f>
        <v>6</v>
      </c>
      <c r="AN22" s="84">
        <v>6</v>
      </c>
      <c r="AO22" s="89">
        <f>(AN22/AM22)</f>
        <v>1</v>
      </c>
      <c r="AP22" s="316" t="s">
        <v>111</v>
      </c>
      <c r="AQ22" s="316" t="s">
        <v>112</v>
      </c>
      <c r="AR22" s="85" t="str">
        <f t="shared" si="4"/>
        <v>Lineas de acción de DDHH incrementadas</v>
      </c>
      <c r="AS22" s="85">
        <f t="shared" si="5"/>
        <v>6</v>
      </c>
      <c r="AT22" s="85">
        <v>6</v>
      </c>
      <c r="AU22" s="89">
        <f>(AT22/AS22)</f>
        <v>1</v>
      </c>
      <c r="AV22" s="113" t="s">
        <v>111</v>
      </c>
      <c r="AW22" s="84" t="s">
        <v>112</v>
      </c>
      <c r="AX22" s="85" t="str">
        <f t="shared" si="6"/>
        <v>Lineas de acción de DDHH incrementadas</v>
      </c>
      <c r="AY22" s="85">
        <f t="shared" si="7"/>
        <v>6</v>
      </c>
      <c r="AZ22" s="85">
        <f>IF(J22="CONSTANTE",AVERAGE(AB22,AH22,AN22,AT22),(SUM(AB22,AH22,AN22,AT22)))</f>
        <v>6</v>
      </c>
      <c r="BA22" s="93">
        <f>AZ22/AY22</f>
        <v>1</v>
      </c>
      <c r="BB22" s="336">
        <f t="shared" ref="BB22:BB62" si="11">BA22*E22</f>
        <v>0.05</v>
      </c>
      <c r="BC22" s="114" t="s">
        <v>113</v>
      </c>
    </row>
    <row r="23" spans="1:55" ht="75" customHeight="1" thickBot="1">
      <c r="A23" s="196"/>
      <c r="B23" s="436"/>
      <c r="C23" s="393"/>
      <c r="D23" s="203" t="s">
        <v>90</v>
      </c>
      <c r="E23" s="241">
        <v>0.06</v>
      </c>
      <c r="F23" s="231"/>
      <c r="G23" s="151"/>
      <c r="H23" s="150"/>
      <c r="I23" s="137"/>
      <c r="J23" s="133"/>
      <c r="K23" s="133"/>
      <c r="L23" s="134"/>
      <c r="M23" s="134"/>
      <c r="N23" s="134"/>
      <c r="O23" s="135"/>
      <c r="P23" s="133"/>
      <c r="Q23" s="133"/>
      <c r="R23" s="133"/>
      <c r="S23" s="133"/>
      <c r="T23" s="133"/>
      <c r="U23" s="133"/>
      <c r="V23" s="133"/>
      <c r="W23" s="133"/>
      <c r="X23" s="95"/>
      <c r="Y23" s="136"/>
      <c r="Z23" s="85"/>
      <c r="AA23" s="85"/>
      <c r="AB23" s="84"/>
      <c r="AC23" s="89"/>
      <c r="AD23" s="90"/>
      <c r="AE23" s="90"/>
      <c r="AF23" s="85"/>
      <c r="AG23" s="91"/>
      <c r="AH23" s="92"/>
      <c r="AI23" s="89"/>
      <c r="AJ23" s="84"/>
      <c r="AK23" s="84"/>
      <c r="AL23" s="85"/>
      <c r="AM23" s="85"/>
      <c r="AN23" s="84"/>
      <c r="AO23" s="89"/>
      <c r="AP23" s="84"/>
      <c r="AQ23" s="84"/>
      <c r="AR23" s="85"/>
      <c r="AS23" s="85"/>
      <c r="AT23" s="86"/>
      <c r="AU23" s="89"/>
      <c r="AV23" s="113"/>
      <c r="AW23" s="84"/>
      <c r="AX23" s="85"/>
      <c r="AY23" s="85"/>
      <c r="AZ23" s="94"/>
      <c r="BA23" s="93"/>
      <c r="BB23" s="336">
        <f>SUM(BB21:BB22)</f>
        <v>6.0000000000000005E-2</v>
      </c>
      <c r="BC23" s="114"/>
    </row>
    <row r="24" spans="1:55" ht="108.75" customHeight="1" thickBot="1">
      <c r="A24" s="124">
        <v>6</v>
      </c>
      <c r="B24" s="436"/>
      <c r="C24" s="391" t="s">
        <v>114</v>
      </c>
      <c r="D24" s="204" t="s">
        <v>115</v>
      </c>
      <c r="E24" s="294">
        <v>0.01</v>
      </c>
      <c r="F24" s="226" t="s">
        <v>104</v>
      </c>
      <c r="G24" s="101" t="s">
        <v>116</v>
      </c>
      <c r="H24" s="90" t="s">
        <v>117</v>
      </c>
      <c r="I24" s="84"/>
      <c r="J24" s="84" t="s">
        <v>57</v>
      </c>
      <c r="K24" s="84" t="s">
        <v>118</v>
      </c>
      <c r="L24" s="84">
        <v>0</v>
      </c>
      <c r="M24" s="84">
        <v>0</v>
      </c>
      <c r="N24" s="84">
        <v>1</v>
      </c>
      <c r="O24" s="86">
        <v>0</v>
      </c>
      <c r="P24" s="84">
        <v>1</v>
      </c>
      <c r="Q24" s="84" t="s">
        <v>59</v>
      </c>
      <c r="R24" s="84" t="s">
        <v>119</v>
      </c>
      <c r="S24" s="84" t="s">
        <v>120</v>
      </c>
      <c r="T24" s="84" t="s">
        <v>62</v>
      </c>
      <c r="U24" s="84"/>
      <c r="V24" s="84"/>
      <c r="W24" s="84"/>
      <c r="X24" s="95"/>
      <c r="Y24" s="88"/>
      <c r="Z24" s="85" t="str">
        <f t="shared" si="0"/>
        <v>Mecanismos de respuesta oportuna</v>
      </c>
      <c r="AA24" s="85">
        <f t="shared" si="9"/>
        <v>0</v>
      </c>
      <c r="AB24" s="84">
        <v>0</v>
      </c>
      <c r="AC24" s="89"/>
      <c r="AD24" s="84" t="s">
        <v>63</v>
      </c>
      <c r="AE24" s="90"/>
      <c r="AF24" s="85" t="str">
        <f t="shared" si="1"/>
        <v>Mecanismos de respuesta oportuna</v>
      </c>
      <c r="AG24" s="91">
        <f t="shared" si="2"/>
        <v>0</v>
      </c>
      <c r="AH24" s="92">
        <v>0</v>
      </c>
      <c r="AI24" s="89">
        <v>0</v>
      </c>
      <c r="AJ24" s="321" t="s">
        <v>121</v>
      </c>
      <c r="AK24" s="84" t="s">
        <v>63</v>
      </c>
      <c r="AL24" s="85" t="str">
        <f t="shared" si="3"/>
        <v>Mecanismos de respuesta oportuna</v>
      </c>
      <c r="AM24" s="85">
        <f t="shared" si="10"/>
        <v>1</v>
      </c>
      <c r="AN24" s="84">
        <v>0</v>
      </c>
      <c r="AO24" s="89">
        <f>(AN24/AM24)</f>
        <v>0</v>
      </c>
      <c r="AP24" s="84"/>
      <c r="AQ24" s="84"/>
      <c r="AR24" s="85" t="str">
        <f t="shared" si="4"/>
        <v>Mecanismos de respuesta oportuna</v>
      </c>
      <c r="AS24" s="85">
        <f t="shared" si="5"/>
        <v>0</v>
      </c>
      <c r="AT24" s="86"/>
      <c r="AU24" s="89"/>
      <c r="AV24" s="113"/>
      <c r="AW24" s="84"/>
      <c r="AX24" s="85" t="str">
        <f t="shared" si="6"/>
        <v>Mecanismos de respuesta oportuna</v>
      </c>
      <c r="AY24" s="85">
        <f t="shared" si="7"/>
        <v>1</v>
      </c>
      <c r="AZ24" s="94">
        <f t="shared" si="8"/>
        <v>0</v>
      </c>
      <c r="BA24" s="93">
        <f>AZ24/AY24</f>
        <v>0</v>
      </c>
      <c r="BB24" s="336">
        <f t="shared" si="11"/>
        <v>0</v>
      </c>
      <c r="BC24" s="114" t="s">
        <v>122</v>
      </c>
    </row>
    <row r="25" spans="1:55" ht="189" customHeight="1" thickBot="1">
      <c r="A25" s="125">
        <v>7</v>
      </c>
      <c r="B25" s="436"/>
      <c r="C25" s="392"/>
      <c r="D25" s="205" t="s">
        <v>123</v>
      </c>
      <c r="E25" s="295">
        <v>0.01</v>
      </c>
      <c r="F25" s="232" t="s">
        <v>54</v>
      </c>
      <c r="G25" s="58" t="s">
        <v>124</v>
      </c>
      <c r="H25" s="54" t="s">
        <v>125</v>
      </c>
      <c r="I25" s="74"/>
      <c r="J25" s="74" t="s">
        <v>107</v>
      </c>
      <c r="K25" s="74" t="s">
        <v>126</v>
      </c>
      <c r="L25" s="57">
        <v>1</v>
      </c>
      <c r="M25" s="57">
        <v>1</v>
      </c>
      <c r="N25" s="57">
        <v>1</v>
      </c>
      <c r="O25" s="57">
        <v>1</v>
      </c>
      <c r="P25" s="57">
        <v>1</v>
      </c>
      <c r="Q25" s="74" t="s">
        <v>59</v>
      </c>
      <c r="R25" s="74" t="s">
        <v>127</v>
      </c>
      <c r="S25" s="74" t="s">
        <v>128</v>
      </c>
      <c r="T25" s="74" t="s">
        <v>62</v>
      </c>
      <c r="U25" s="51"/>
      <c r="V25" s="51"/>
      <c r="W25" s="51"/>
      <c r="X25" s="95"/>
      <c r="Y25" s="55"/>
      <c r="Z25" s="85" t="str">
        <f t="shared" si="0"/>
        <v>Participación en convocatorias de la dirección de relaciones políticas</v>
      </c>
      <c r="AA25" s="85">
        <f t="shared" si="9"/>
        <v>1</v>
      </c>
      <c r="AB25" s="84">
        <f>1/1</f>
        <v>1</v>
      </c>
      <c r="AC25" s="89">
        <f>(AB25/AA25)</f>
        <v>1</v>
      </c>
      <c r="AD25" s="90" t="s">
        <v>129</v>
      </c>
      <c r="AE25" s="90"/>
      <c r="AF25" s="85" t="str">
        <f t="shared" si="1"/>
        <v>Participación en convocatorias de la dirección de relaciones políticas</v>
      </c>
      <c r="AG25" s="91">
        <f t="shared" si="2"/>
        <v>1</v>
      </c>
      <c r="AH25" s="91">
        <v>1</v>
      </c>
      <c r="AI25" s="89">
        <v>1</v>
      </c>
      <c r="AJ25" s="321" t="s">
        <v>130</v>
      </c>
      <c r="AK25" s="84" t="s">
        <v>131</v>
      </c>
      <c r="AL25" s="85" t="str">
        <f t="shared" si="3"/>
        <v>Participación en convocatorias de la dirección de relaciones políticas</v>
      </c>
      <c r="AM25" s="85">
        <f t="shared" si="10"/>
        <v>1</v>
      </c>
      <c r="AN25" s="84">
        <v>1</v>
      </c>
      <c r="AO25" s="89">
        <f>(AN25/AM25)</f>
        <v>1</v>
      </c>
      <c r="AP25" s="321" t="s">
        <v>130</v>
      </c>
      <c r="AQ25" s="84" t="s">
        <v>131</v>
      </c>
      <c r="AR25" s="85" t="str">
        <f t="shared" si="4"/>
        <v>Participación en convocatorias de la dirección de relaciones políticas</v>
      </c>
      <c r="AS25" s="85">
        <f t="shared" si="5"/>
        <v>1</v>
      </c>
      <c r="AT25" s="84">
        <v>1</v>
      </c>
      <c r="AU25" s="89">
        <f>(AT25/AS25)</f>
        <v>1</v>
      </c>
      <c r="AV25" s="113" t="s">
        <v>130</v>
      </c>
      <c r="AW25" s="84" t="s">
        <v>131</v>
      </c>
      <c r="AX25" s="85" t="str">
        <f t="shared" si="6"/>
        <v>Participación en convocatorias de la dirección de relaciones políticas</v>
      </c>
      <c r="AY25" s="85">
        <f t="shared" si="7"/>
        <v>1</v>
      </c>
      <c r="AZ25" s="85">
        <f t="shared" si="8"/>
        <v>1</v>
      </c>
      <c r="BA25" s="93">
        <f>AZ25/AY25</f>
        <v>1</v>
      </c>
      <c r="BB25" s="336">
        <f t="shared" si="11"/>
        <v>0.01</v>
      </c>
      <c r="BC25" s="114" t="s">
        <v>132</v>
      </c>
    </row>
    <row r="26" spans="1:55" ht="222" customHeight="1" thickBot="1">
      <c r="A26" s="125">
        <v>8</v>
      </c>
      <c r="B26" s="436"/>
      <c r="C26" s="392"/>
      <c r="D26" s="206" t="s">
        <v>133</v>
      </c>
      <c r="E26" s="295">
        <v>0.02</v>
      </c>
      <c r="F26" s="230" t="s">
        <v>54</v>
      </c>
      <c r="G26" s="103" t="s">
        <v>134</v>
      </c>
      <c r="H26" s="104" t="s">
        <v>135</v>
      </c>
      <c r="I26" s="102"/>
      <c r="J26" s="102" t="s">
        <v>57</v>
      </c>
      <c r="K26" s="102" t="s">
        <v>136</v>
      </c>
      <c r="L26" s="102">
        <v>0</v>
      </c>
      <c r="M26" s="102">
        <v>0</v>
      </c>
      <c r="N26" s="102">
        <v>1</v>
      </c>
      <c r="O26" s="105">
        <v>0</v>
      </c>
      <c r="P26" s="81">
        <v>1</v>
      </c>
      <c r="Q26" s="102" t="s">
        <v>59</v>
      </c>
      <c r="R26" s="102" t="s">
        <v>137</v>
      </c>
      <c r="S26" s="74" t="s">
        <v>128</v>
      </c>
      <c r="T26" s="102" t="s">
        <v>62</v>
      </c>
      <c r="U26" s="81"/>
      <c r="V26" s="81"/>
      <c r="W26" s="81"/>
      <c r="X26" s="95"/>
      <c r="Y26" s="96"/>
      <c r="Z26" s="85" t="str">
        <f t="shared" si="0"/>
        <v>Mesa de trabajo con la JAL y la DRP en la Alcaldía Local</v>
      </c>
      <c r="AA26" s="85">
        <f t="shared" si="9"/>
        <v>0</v>
      </c>
      <c r="AB26" s="84">
        <v>0</v>
      </c>
      <c r="AC26" s="89"/>
      <c r="AD26" s="84" t="s">
        <v>63</v>
      </c>
      <c r="AE26" s="90"/>
      <c r="AF26" s="85" t="str">
        <f t="shared" si="1"/>
        <v>Mesa de trabajo con la JAL y la DRP en la Alcaldía Local</v>
      </c>
      <c r="AG26" s="91">
        <f t="shared" si="2"/>
        <v>0</v>
      </c>
      <c r="AH26" s="92">
        <v>0</v>
      </c>
      <c r="AI26" s="89"/>
      <c r="AJ26" s="321" t="s">
        <v>138</v>
      </c>
      <c r="AK26" s="84" t="s">
        <v>131</v>
      </c>
      <c r="AL26" s="85" t="str">
        <f t="shared" si="3"/>
        <v>Mesa de trabajo con la JAL y la DRP en la Alcaldía Local</v>
      </c>
      <c r="AM26" s="85">
        <f>N26</f>
        <v>1</v>
      </c>
      <c r="AN26" s="84">
        <v>1</v>
      </c>
      <c r="AO26" s="89">
        <f>(AN26/AM26)</f>
        <v>1</v>
      </c>
      <c r="AP26" s="321" t="s">
        <v>139</v>
      </c>
      <c r="AQ26" s="84" t="s">
        <v>140</v>
      </c>
      <c r="AR26" s="85" t="str">
        <f t="shared" si="4"/>
        <v>Mesa de trabajo con la JAL y la DRP en la Alcaldía Local</v>
      </c>
      <c r="AS26" s="85">
        <f t="shared" si="5"/>
        <v>0</v>
      </c>
      <c r="AT26" s="86"/>
      <c r="AU26" s="89"/>
      <c r="AV26" s="113"/>
      <c r="AW26" s="84" t="s">
        <v>141</v>
      </c>
      <c r="AX26" s="85" t="str">
        <f t="shared" si="6"/>
        <v>Mesa de trabajo con la JAL y la DRP en la Alcaldía Local</v>
      </c>
      <c r="AY26" s="85">
        <f t="shared" si="7"/>
        <v>1</v>
      </c>
      <c r="AZ26" s="85">
        <f t="shared" si="8"/>
        <v>1</v>
      </c>
      <c r="BA26" s="93">
        <f>AZ26/AY26</f>
        <v>1</v>
      </c>
      <c r="BB26" s="336">
        <f t="shared" si="11"/>
        <v>0.02</v>
      </c>
      <c r="BC26" s="114" t="s">
        <v>142</v>
      </c>
    </row>
    <row r="27" spans="1:55" ht="75" customHeight="1" thickBot="1">
      <c r="A27" s="196"/>
      <c r="B27" s="436"/>
      <c r="C27" s="393"/>
      <c r="D27" s="207" t="s">
        <v>90</v>
      </c>
      <c r="E27" s="241">
        <v>0.04</v>
      </c>
      <c r="F27" s="229"/>
      <c r="G27" s="151"/>
      <c r="H27" s="150"/>
      <c r="I27" s="137"/>
      <c r="J27" s="133"/>
      <c r="K27" s="133"/>
      <c r="L27" s="134"/>
      <c r="M27" s="134"/>
      <c r="N27" s="134"/>
      <c r="O27" s="135"/>
      <c r="P27" s="133"/>
      <c r="Q27" s="133"/>
      <c r="R27" s="133"/>
      <c r="S27" s="133"/>
      <c r="T27" s="133"/>
      <c r="U27" s="133"/>
      <c r="V27" s="133"/>
      <c r="W27" s="133"/>
      <c r="X27" s="95"/>
      <c r="Y27" s="136"/>
      <c r="Z27" s="85"/>
      <c r="AA27" s="85"/>
      <c r="AB27" s="84"/>
      <c r="AC27" s="89"/>
      <c r="AD27" s="90"/>
      <c r="AE27" s="90"/>
      <c r="AF27" s="85"/>
      <c r="AG27" s="91"/>
      <c r="AH27" s="92"/>
      <c r="AI27" s="89"/>
      <c r="AJ27" s="84"/>
      <c r="AK27" s="84"/>
      <c r="AL27" s="85"/>
      <c r="AM27" s="85"/>
      <c r="AN27" s="84"/>
      <c r="AO27" s="89"/>
      <c r="AP27" s="84"/>
      <c r="AQ27" s="84"/>
      <c r="AR27" s="85"/>
      <c r="AS27" s="85"/>
      <c r="AT27" s="86"/>
      <c r="AU27" s="89"/>
      <c r="AV27" s="113"/>
      <c r="AW27" s="84"/>
      <c r="AX27" s="85"/>
      <c r="AY27" s="85"/>
      <c r="AZ27" s="94"/>
      <c r="BA27" s="93"/>
      <c r="BB27" s="336">
        <f>SUM(BB24:BB26)</f>
        <v>0.03</v>
      </c>
      <c r="BC27" s="114"/>
    </row>
    <row r="28" spans="1:55" ht="94.5" customHeight="1" thickBot="1">
      <c r="A28" s="124">
        <v>9</v>
      </c>
      <c r="B28" s="436"/>
      <c r="C28" s="427" t="s">
        <v>143</v>
      </c>
      <c r="D28" s="208" t="s">
        <v>144</v>
      </c>
      <c r="E28" s="272">
        <v>1.4999999999999999E-2</v>
      </c>
      <c r="F28" s="226" t="s">
        <v>54</v>
      </c>
      <c r="G28" s="101" t="s">
        <v>145</v>
      </c>
      <c r="H28" s="90" t="s">
        <v>146</v>
      </c>
      <c r="I28" s="84"/>
      <c r="J28" s="84" t="s">
        <v>57</v>
      </c>
      <c r="K28" s="84" t="s">
        <v>147</v>
      </c>
      <c r="L28" s="86">
        <v>0</v>
      </c>
      <c r="M28" s="86">
        <v>1</v>
      </c>
      <c r="N28" s="86"/>
      <c r="O28" s="86"/>
      <c r="P28" s="86">
        <f>SUM(L28:O28)</f>
        <v>1</v>
      </c>
      <c r="Q28" s="84" t="s">
        <v>59</v>
      </c>
      <c r="R28" s="84" t="s">
        <v>148</v>
      </c>
      <c r="S28" s="84" t="s">
        <v>149</v>
      </c>
      <c r="T28" s="84" t="s">
        <v>62</v>
      </c>
      <c r="U28" s="84"/>
      <c r="V28" s="84"/>
      <c r="W28" s="84"/>
      <c r="X28" s="95"/>
      <c r="Y28" s="88"/>
      <c r="Z28" s="85" t="str">
        <f t="shared" si="0"/>
        <v>Socialización de la estrategia de comunicación</v>
      </c>
      <c r="AA28" s="85">
        <f t="shared" si="9"/>
        <v>0</v>
      </c>
      <c r="AB28" s="84">
        <v>0</v>
      </c>
      <c r="AC28" s="89"/>
      <c r="AD28" s="84" t="s">
        <v>63</v>
      </c>
      <c r="AE28" s="90"/>
      <c r="AF28" s="85" t="str">
        <f t="shared" si="1"/>
        <v>Socialización de la estrategia de comunicación</v>
      </c>
      <c r="AG28" s="91">
        <f t="shared" si="2"/>
        <v>1</v>
      </c>
      <c r="AH28" s="92">
        <v>1</v>
      </c>
      <c r="AI28" s="89">
        <v>1</v>
      </c>
      <c r="AJ28" s="321" t="s">
        <v>150</v>
      </c>
      <c r="AK28" s="84" t="s">
        <v>151</v>
      </c>
      <c r="AL28" s="85" t="str">
        <f t="shared" si="3"/>
        <v>Socialización de la estrategia de comunicación</v>
      </c>
      <c r="AM28" s="85">
        <f t="shared" si="10"/>
        <v>0</v>
      </c>
      <c r="AN28" s="84">
        <v>0</v>
      </c>
      <c r="AO28" s="89"/>
      <c r="AP28" s="84" t="s">
        <v>152</v>
      </c>
      <c r="AQ28" s="84"/>
      <c r="AR28" s="85" t="str">
        <f t="shared" si="4"/>
        <v>Socialización de la estrategia de comunicación</v>
      </c>
      <c r="AS28" s="85">
        <f t="shared" si="5"/>
        <v>0</v>
      </c>
      <c r="AT28" s="86">
        <v>0</v>
      </c>
      <c r="AU28" s="89"/>
      <c r="AV28" s="113" t="s">
        <v>153</v>
      </c>
      <c r="AW28" s="84"/>
      <c r="AX28" s="85" t="str">
        <f t="shared" si="6"/>
        <v>Socialización de la estrategia de comunicación</v>
      </c>
      <c r="AY28" s="94">
        <f t="shared" si="7"/>
        <v>1</v>
      </c>
      <c r="AZ28" s="94">
        <f t="shared" si="8"/>
        <v>1</v>
      </c>
      <c r="BA28" s="93">
        <f>AZ28/AY28</f>
        <v>1</v>
      </c>
      <c r="BB28" s="336">
        <f t="shared" si="11"/>
        <v>1.4999999999999999E-2</v>
      </c>
      <c r="BC28" s="114" t="s">
        <v>154</v>
      </c>
    </row>
    <row r="29" spans="1:55" ht="216.75" customHeight="1" thickBot="1">
      <c r="A29" s="125">
        <v>10</v>
      </c>
      <c r="B29" s="436"/>
      <c r="C29" s="428"/>
      <c r="D29" s="209" t="s">
        <v>155</v>
      </c>
      <c r="E29" s="273">
        <v>1.4999999999999999E-2</v>
      </c>
      <c r="F29" s="232" t="s">
        <v>54</v>
      </c>
      <c r="G29" s="58" t="s">
        <v>156</v>
      </c>
      <c r="H29" s="54" t="s">
        <v>157</v>
      </c>
      <c r="I29" s="74"/>
      <c r="J29" s="74" t="s">
        <v>57</v>
      </c>
      <c r="K29" s="74" t="s">
        <v>158</v>
      </c>
      <c r="L29" s="86">
        <v>0</v>
      </c>
      <c r="M29" s="86">
        <v>0.3</v>
      </c>
      <c r="N29" s="86">
        <v>0.3</v>
      </c>
      <c r="O29" s="86">
        <v>0.4</v>
      </c>
      <c r="P29" s="86">
        <f>SUM(L29:O29)</f>
        <v>1</v>
      </c>
      <c r="Q29" s="74" t="s">
        <v>59</v>
      </c>
      <c r="R29" s="84" t="s">
        <v>148</v>
      </c>
      <c r="S29" s="84" t="s">
        <v>149</v>
      </c>
      <c r="T29" s="74" t="s">
        <v>62</v>
      </c>
      <c r="U29" s="51"/>
      <c r="V29" s="51"/>
      <c r="W29" s="51"/>
      <c r="X29" s="95"/>
      <c r="Y29" s="55"/>
      <c r="Z29" s="85" t="str">
        <f t="shared" si="0"/>
        <v>Despliegue de la estrategia de comunicación</v>
      </c>
      <c r="AA29" s="85">
        <f t="shared" si="9"/>
        <v>0</v>
      </c>
      <c r="AB29" s="84">
        <v>0</v>
      </c>
      <c r="AC29" s="89"/>
      <c r="AD29" s="84" t="s">
        <v>63</v>
      </c>
      <c r="AE29" s="90"/>
      <c r="AF29" s="85" t="str">
        <f t="shared" si="1"/>
        <v>Despliegue de la estrategia de comunicación</v>
      </c>
      <c r="AG29" s="94">
        <f>M29</f>
        <v>0.3</v>
      </c>
      <c r="AH29" s="92">
        <v>0.19</v>
      </c>
      <c r="AI29" s="89">
        <f>AH29/AG29</f>
        <v>0.63333333333333341</v>
      </c>
      <c r="AJ29" s="321" t="s">
        <v>159</v>
      </c>
      <c r="AK29" s="84" t="s">
        <v>151</v>
      </c>
      <c r="AL29" s="85" t="str">
        <f t="shared" si="3"/>
        <v>Despliegue de la estrategia de comunicación</v>
      </c>
      <c r="AM29" s="85">
        <f t="shared" si="10"/>
        <v>0.3</v>
      </c>
      <c r="AN29" s="84" t="s">
        <v>160</v>
      </c>
      <c r="AO29" s="89"/>
      <c r="AP29" s="84"/>
      <c r="AQ29" s="84"/>
      <c r="AR29" s="85" t="str">
        <f t="shared" si="4"/>
        <v>Despliegue de la estrategia de comunicación</v>
      </c>
      <c r="AS29" s="94">
        <f t="shared" si="5"/>
        <v>0.4</v>
      </c>
      <c r="AT29" s="86">
        <v>0.81</v>
      </c>
      <c r="AU29" s="89">
        <v>1</v>
      </c>
      <c r="AV29" s="113" t="s">
        <v>161</v>
      </c>
      <c r="AW29" s="84" t="s">
        <v>162</v>
      </c>
      <c r="AX29" s="85" t="str">
        <f t="shared" si="6"/>
        <v>Despliegue de la estrategia de comunicación</v>
      </c>
      <c r="AY29" s="94">
        <f t="shared" si="7"/>
        <v>1</v>
      </c>
      <c r="AZ29" s="94">
        <f t="shared" si="8"/>
        <v>1</v>
      </c>
      <c r="BA29" s="93">
        <f>AZ29/AY29</f>
        <v>1</v>
      </c>
      <c r="BB29" s="336">
        <f t="shared" si="11"/>
        <v>1.4999999999999999E-2</v>
      </c>
      <c r="BC29" s="114" t="s">
        <v>163</v>
      </c>
    </row>
    <row r="30" spans="1:55" ht="268.5" thickBot="1">
      <c r="A30" s="125">
        <v>11</v>
      </c>
      <c r="B30" s="436"/>
      <c r="C30" s="428"/>
      <c r="D30" s="209" t="s">
        <v>164</v>
      </c>
      <c r="E30" s="274">
        <v>0.02</v>
      </c>
      <c r="F30" s="232" t="s">
        <v>54</v>
      </c>
      <c r="G30" s="58" t="s">
        <v>165</v>
      </c>
      <c r="H30" s="54" t="s">
        <v>166</v>
      </c>
      <c r="I30" s="74"/>
      <c r="J30" s="74" t="s">
        <v>57</v>
      </c>
      <c r="K30" s="74" t="s">
        <v>167</v>
      </c>
      <c r="L30" s="74">
        <v>0</v>
      </c>
      <c r="M30" s="74">
        <v>1</v>
      </c>
      <c r="N30" s="74">
        <v>0</v>
      </c>
      <c r="O30" s="74">
        <v>1</v>
      </c>
      <c r="P30" s="51">
        <f>SUM(L30:O30)</f>
        <v>2</v>
      </c>
      <c r="Q30" s="74" t="s">
        <v>59</v>
      </c>
      <c r="R30" s="84" t="s">
        <v>148</v>
      </c>
      <c r="S30" s="84" t="s">
        <v>149</v>
      </c>
      <c r="T30" s="74" t="s">
        <v>62</v>
      </c>
      <c r="U30" s="51"/>
      <c r="V30" s="51"/>
      <c r="W30" s="51"/>
      <c r="X30" s="95"/>
      <c r="Y30" s="55"/>
      <c r="Z30" s="85" t="str">
        <f t="shared" si="0"/>
        <v>Campañas externas de comunicación</v>
      </c>
      <c r="AA30" s="85">
        <f t="shared" si="9"/>
        <v>0</v>
      </c>
      <c r="AB30" s="84">
        <v>0</v>
      </c>
      <c r="AC30" s="89"/>
      <c r="AD30" s="84" t="s">
        <v>63</v>
      </c>
      <c r="AE30" s="90"/>
      <c r="AF30" s="85" t="str">
        <f t="shared" si="1"/>
        <v>Campañas externas de comunicación</v>
      </c>
      <c r="AG30" s="91">
        <f t="shared" si="2"/>
        <v>1</v>
      </c>
      <c r="AH30" s="91">
        <v>2</v>
      </c>
      <c r="AI30" s="89">
        <v>1</v>
      </c>
      <c r="AJ30" s="321" t="s">
        <v>168</v>
      </c>
      <c r="AK30" s="84" t="s">
        <v>151</v>
      </c>
      <c r="AL30" s="85" t="str">
        <f t="shared" si="3"/>
        <v>Campañas externas de comunicación</v>
      </c>
      <c r="AM30" s="85">
        <f t="shared" si="10"/>
        <v>0</v>
      </c>
      <c r="AN30" s="84">
        <v>0</v>
      </c>
      <c r="AO30" s="89"/>
      <c r="AP30" s="84" t="s">
        <v>169</v>
      </c>
      <c r="AQ30" s="84"/>
      <c r="AR30" s="85" t="str">
        <f t="shared" si="4"/>
        <v>Campañas externas de comunicación</v>
      </c>
      <c r="AS30" s="85">
        <f t="shared" si="5"/>
        <v>1</v>
      </c>
      <c r="AT30" s="86">
        <v>0</v>
      </c>
      <c r="AU30" s="89">
        <f>(AT30/AS30)</f>
        <v>0</v>
      </c>
      <c r="AV30" s="84" t="s">
        <v>170</v>
      </c>
      <c r="AW30" s="84"/>
      <c r="AX30" s="85" t="str">
        <f t="shared" si="6"/>
        <v>Campañas externas de comunicación</v>
      </c>
      <c r="AY30" s="85">
        <f t="shared" si="7"/>
        <v>2</v>
      </c>
      <c r="AZ30" s="85">
        <f t="shared" si="8"/>
        <v>2</v>
      </c>
      <c r="BA30" s="93">
        <f>AZ30/AY30</f>
        <v>1</v>
      </c>
      <c r="BB30" s="336">
        <f t="shared" si="11"/>
        <v>0.02</v>
      </c>
      <c r="BC30" s="114" t="s">
        <v>171</v>
      </c>
    </row>
    <row r="31" spans="1:55" ht="379.5" customHeight="1" thickBot="1">
      <c r="A31" s="125">
        <v>12</v>
      </c>
      <c r="B31" s="436"/>
      <c r="C31" s="428"/>
      <c r="D31" s="209" t="s">
        <v>172</v>
      </c>
      <c r="E31" s="274">
        <v>0.01</v>
      </c>
      <c r="F31" s="232" t="s">
        <v>54</v>
      </c>
      <c r="G31" s="58" t="s">
        <v>173</v>
      </c>
      <c r="H31" s="54" t="s">
        <v>174</v>
      </c>
      <c r="I31" s="74"/>
      <c r="J31" s="74" t="s">
        <v>57</v>
      </c>
      <c r="K31" s="74" t="s">
        <v>173</v>
      </c>
      <c r="L31" s="74">
        <v>0</v>
      </c>
      <c r="M31" s="74">
        <v>2</v>
      </c>
      <c r="N31" s="74">
        <v>0</v>
      </c>
      <c r="O31" s="74">
        <v>0</v>
      </c>
      <c r="P31" s="51">
        <f>SUM(L31:O31)</f>
        <v>2</v>
      </c>
      <c r="Q31" s="74" t="s">
        <v>59</v>
      </c>
      <c r="R31" s="84" t="s">
        <v>148</v>
      </c>
      <c r="S31" s="84" t="s">
        <v>149</v>
      </c>
      <c r="T31" s="74" t="s">
        <v>62</v>
      </c>
      <c r="U31" s="51"/>
      <c r="V31" s="51"/>
      <c r="W31" s="51"/>
      <c r="X31" s="95"/>
      <c r="Y31" s="55"/>
      <c r="Z31" s="85" t="str">
        <f t="shared" si="0"/>
        <v>Campañas internas de comunicación</v>
      </c>
      <c r="AA31" s="85">
        <f t="shared" si="9"/>
        <v>0</v>
      </c>
      <c r="AB31" s="84">
        <v>0</v>
      </c>
      <c r="AC31" s="89"/>
      <c r="AD31" s="84" t="s">
        <v>63</v>
      </c>
      <c r="AE31" s="90"/>
      <c r="AF31" s="85" t="str">
        <f t="shared" si="1"/>
        <v>Campañas internas de comunicación</v>
      </c>
      <c r="AG31" s="91">
        <f t="shared" si="2"/>
        <v>2</v>
      </c>
      <c r="AH31" s="91">
        <v>2</v>
      </c>
      <c r="AI31" s="89">
        <v>1</v>
      </c>
      <c r="AJ31" s="321" t="s">
        <v>175</v>
      </c>
      <c r="AK31" s="84" t="s">
        <v>151</v>
      </c>
      <c r="AL31" s="85" t="str">
        <f t="shared" si="3"/>
        <v>Campañas internas de comunicación</v>
      </c>
      <c r="AM31" s="85">
        <f t="shared" si="10"/>
        <v>0</v>
      </c>
      <c r="AN31" s="84">
        <v>0</v>
      </c>
      <c r="AO31" s="89"/>
      <c r="AP31" s="84" t="s">
        <v>176</v>
      </c>
      <c r="AQ31" s="84" t="s">
        <v>63</v>
      </c>
      <c r="AR31" s="85" t="str">
        <f t="shared" si="4"/>
        <v>Campañas internas de comunicación</v>
      </c>
      <c r="AS31" s="85">
        <f t="shared" si="5"/>
        <v>0</v>
      </c>
      <c r="AT31" s="86">
        <v>0</v>
      </c>
      <c r="AU31" s="89"/>
      <c r="AV31" s="113" t="s">
        <v>153</v>
      </c>
      <c r="AW31" s="84"/>
      <c r="AX31" s="85" t="str">
        <f t="shared" si="6"/>
        <v>Campañas internas de comunicación</v>
      </c>
      <c r="AY31" s="85">
        <f t="shared" si="7"/>
        <v>2</v>
      </c>
      <c r="AZ31" s="85">
        <f t="shared" si="8"/>
        <v>2</v>
      </c>
      <c r="BA31" s="93">
        <f>AZ31/AY31</f>
        <v>1</v>
      </c>
      <c r="BB31" s="336">
        <f t="shared" si="11"/>
        <v>0.01</v>
      </c>
      <c r="BC31" s="114" t="s">
        <v>171</v>
      </c>
    </row>
    <row r="32" spans="1:55" ht="153.75" thickBot="1">
      <c r="A32" s="125">
        <v>13</v>
      </c>
      <c r="B32" s="436"/>
      <c r="C32" s="428"/>
      <c r="D32" s="210" t="s">
        <v>177</v>
      </c>
      <c r="E32" s="275">
        <v>0.04</v>
      </c>
      <c r="F32" s="230" t="s">
        <v>54</v>
      </c>
      <c r="G32" s="103" t="s">
        <v>178</v>
      </c>
      <c r="H32" s="104" t="s">
        <v>179</v>
      </c>
      <c r="I32" s="102"/>
      <c r="J32" s="102" t="s">
        <v>57</v>
      </c>
      <c r="K32" s="102" t="s">
        <v>180</v>
      </c>
      <c r="L32" s="57">
        <v>0</v>
      </c>
      <c r="M32" s="105">
        <v>0.4</v>
      </c>
      <c r="N32" s="105">
        <v>0.3</v>
      </c>
      <c r="O32" s="105">
        <v>0.3</v>
      </c>
      <c r="P32" s="83">
        <f>SUM(L32:O32)</f>
        <v>1</v>
      </c>
      <c r="Q32" s="74" t="s">
        <v>59</v>
      </c>
      <c r="R32" s="84" t="s">
        <v>148</v>
      </c>
      <c r="S32" s="84" t="s">
        <v>149</v>
      </c>
      <c r="T32" s="102" t="s">
        <v>62</v>
      </c>
      <c r="U32" s="81"/>
      <c r="V32" s="81"/>
      <c r="W32" s="81"/>
      <c r="X32" s="95"/>
      <c r="Y32" s="96"/>
      <c r="Z32" s="85" t="str">
        <f t="shared" si="0"/>
        <v>Plan de comunicaciones 2017</v>
      </c>
      <c r="AA32" s="85">
        <f t="shared" si="9"/>
        <v>0</v>
      </c>
      <c r="AB32" s="84">
        <v>0</v>
      </c>
      <c r="AC32" s="89"/>
      <c r="AD32" s="84" t="s">
        <v>63</v>
      </c>
      <c r="AE32" s="90"/>
      <c r="AF32" s="85" t="str">
        <f t="shared" si="1"/>
        <v>Plan de comunicaciones 2017</v>
      </c>
      <c r="AG32" s="91">
        <f t="shared" si="2"/>
        <v>0.4</v>
      </c>
      <c r="AH32" s="92">
        <v>1</v>
      </c>
      <c r="AI32" s="89">
        <v>1</v>
      </c>
      <c r="AJ32" s="321" t="s">
        <v>181</v>
      </c>
      <c r="AK32" s="84" t="s">
        <v>151</v>
      </c>
      <c r="AL32" s="85" t="str">
        <f t="shared" si="3"/>
        <v>Plan de comunicaciones 2017</v>
      </c>
      <c r="AM32" s="85">
        <f t="shared" si="10"/>
        <v>0.3</v>
      </c>
      <c r="AN32" s="84"/>
      <c r="AO32" s="89">
        <f>(AN32/AM32)</f>
        <v>0</v>
      </c>
      <c r="AP32" s="84" t="s">
        <v>182</v>
      </c>
      <c r="AQ32" s="84" t="s">
        <v>151</v>
      </c>
      <c r="AR32" s="85" t="str">
        <f t="shared" si="4"/>
        <v>Plan de comunicaciones 2017</v>
      </c>
      <c r="AS32" s="85">
        <f t="shared" si="5"/>
        <v>0.3</v>
      </c>
      <c r="AT32" s="86">
        <v>0</v>
      </c>
      <c r="AU32" s="89">
        <f>(AT32/AS32)</f>
        <v>0</v>
      </c>
      <c r="AV32" s="113"/>
      <c r="AW32" s="84"/>
      <c r="AX32" s="85" t="str">
        <f t="shared" si="6"/>
        <v>Plan de comunicaciones 2017</v>
      </c>
      <c r="AY32" s="85">
        <f t="shared" si="7"/>
        <v>1</v>
      </c>
      <c r="AZ32" s="85">
        <f t="shared" si="8"/>
        <v>1</v>
      </c>
      <c r="BA32" s="93">
        <f>AZ32/AY32</f>
        <v>1</v>
      </c>
      <c r="BB32" s="336">
        <f t="shared" si="11"/>
        <v>0.04</v>
      </c>
      <c r="BC32" s="114" t="s">
        <v>183</v>
      </c>
    </row>
    <row r="33" spans="1:55" ht="75" customHeight="1" thickBot="1">
      <c r="A33" s="196"/>
      <c r="B33" s="436"/>
      <c r="C33" s="429"/>
      <c r="D33" s="211" t="s">
        <v>90</v>
      </c>
      <c r="E33" s="241">
        <v>0.1</v>
      </c>
      <c r="F33" s="231"/>
      <c r="G33" s="151"/>
      <c r="H33" s="150"/>
      <c r="I33" s="137"/>
      <c r="J33" s="133"/>
      <c r="K33" s="133"/>
      <c r="L33" s="134"/>
      <c r="M33" s="134"/>
      <c r="N33" s="134"/>
      <c r="O33" s="135"/>
      <c r="P33" s="133"/>
      <c r="Q33" s="133"/>
      <c r="R33" s="133"/>
      <c r="S33" s="133"/>
      <c r="T33" s="133"/>
      <c r="U33" s="133"/>
      <c r="V33" s="133"/>
      <c r="W33" s="133"/>
      <c r="X33" s="95"/>
      <c r="Y33" s="136"/>
      <c r="Z33" s="85"/>
      <c r="AA33" s="85"/>
      <c r="AB33" s="84"/>
      <c r="AC33" s="89"/>
      <c r="AD33" s="90"/>
      <c r="AE33" s="90"/>
      <c r="AF33" s="85"/>
      <c r="AG33" s="91"/>
      <c r="AH33" s="92"/>
      <c r="AI33" s="89"/>
      <c r="AJ33" s="84"/>
      <c r="AK33" s="84"/>
      <c r="AL33" s="85"/>
      <c r="AM33" s="85"/>
      <c r="AN33" s="84"/>
      <c r="AO33" s="89"/>
      <c r="AP33" s="84"/>
      <c r="AQ33" s="84"/>
      <c r="AR33" s="85"/>
      <c r="AS33" s="85"/>
      <c r="AT33" s="86"/>
      <c r="AU33" s="89"/>
      <c r="AV33" s="113"/>
      <c r="AW33" s="84"/>
      <c r="AX33" s="85"/>
      <c r="AY33" s="85"/>
      <c r="AZ33" s="94"/>
      <c r="BA33" s="93"/>
      <c r="BB33" s="336">
        <f>SUM(BB28:BB32)</f>
        <v>0.1</v>
      </c>
      <c r="BC33" s="114"/>
    </row>
    <row r="34" spans="1:55" ht="409.6" thickBot="1">
      <c r="A34" s="124">
        <v>14</v>
      </c>
      <c r="B34" s="436"/>
      <c r="C34" s="391" t="s">
        <v>184</v>
      </c>
      <c r="D34" s="212" t="s">
        <v>185</v>
      </c>
      <c r="E34" s="338">
        <v>1.7000000000000001E-2</v>
      </c>
      <c r="F34" s="226" t="s">
        <v>54</v>
      </c>
      <c r="G34" s="115" t="s">
        <v>186</v>
      </c>
      <c r="H34" s="115" t="s">
        <v>187</v>
      </c>
      <c r="I34" s="84"/>
      <c r="J34" s="84" t="s">
        <v>57</v>
      </c>
      <c r="K34" s="84" t="s">
        <v>188</v>
      </c>
      <c r="L34" s="51">
        <v>10</v>
      </c>
      <c r="M34" s="51">
        <v>20</v>
      </c>
      <c r="N34" s="51"/>
      <c r="O34" s="51"/>
      <c r="P34" s="84">
        <f t="shared" ref="P34:P40" si="12">SUM(L34:O34)</f>
        <v>30</v>
      </c>
      <c r="Q34" s="84" t="s">
        <v>59</v>
      </c>
      <c r="R34" s="84" t="s">
        <v>189</v>
      </c>
      <c r="S34" s="84" t="s">
        <v>190</v>
      </c>
      <c r="T34" s="84" t="s">
        <v>62</v>
      </c>
      <c r="U34" s="84"/>
      <c r="V34" s="84"/>
      <c r="W34" s="84"/>
      <c r="X34" s="95"/>
      <c r="Y34" s="88"/>
      <c r="Z34" s="85" t="str">
        <f t="shared" si="0"/>
        <v>Acciones de Control u Operativos realizados en espacio público</v>
      </c>
      <c r="AA34" s="85">
        <f t="shared" si="9"/>
        <v>10</v>
      </c>
      <c r="AB34" s="84">
        <v>10</v>
      </c>
      <c r="AC34" s="89">
        <f>(AB34/AA34)</f>
        <v>1</v>
      </c>
      <c r="AD34" s="90" t="s">
        <v>191</v>
      </c>
      <c r="AE34" s="90" t="s">
        <v>192</v>
      </c>
      <c r="AF34" s="85" t="str">
        <f t="shared" si="1"/>
        <v>Acciones de Control u Operativos realizados en espacio público</v>
      </c>
      <c r="AG34" s="91">
        <f t="shared" si="2"/>
        <v>20</v>
      </c>
      <c r="AH34" s="91">
        <v>30</v>
      </c>
      <c r="AI34" s="89">
        <f>AH34/AG34</f>
        <v>1.5</v>
      </c>
      <c r="AJ34" s="321" t="s">
        <v>193</v>
      </c>
      <c r="AK34" s="84" t="s">
        <v>194</v>
      </c>
      <c r="AL34" s="85" t="str">
        <f t="shared" si="3"/>
        <v>Acciones de Control u Operativos realizados en espacio público</v>
      </c>
      <c r="AM34" s="85">
        <f t="shared" si="10"/>
        <v>0</v>
      </c>
      <c r="AN34" s="84">
        <v>13</v>
      </c>
      <c r="AO34" s="89"/>
      <c r="AP34" s="321" t="s">
        <v>195</v>
      </c>
      <c r="AQ34" s="84" t="s">
        <v>194</v>
      </c>
      <c r="AR34" s="85" t="str">
        <f t="shared" si="4"/>
        <v>Acciones de Control u Operativos realizados en espacio público</v>
      </c>
      <c r="AS34" s="85">
        <f t="shared" si="5"/>
        <v>0</v>
      </c>
      <c r="AT34" s="84">
        <v>5</v>
      </c>
      <c r="AU34" s="89">
        <v>1</v>
      </c>
      <c r="AV34" s="113" t="s">
        <v>196</v>
      </c>
      <c r="AW34" s="84" t="s">
        <v>194</v>
      </c>
      <c r="AX34" s="85" t="str">
        <f t="shared" si="6"/>
        <v>Acciones de Control u Operativos realizados en espacio público</v>
      </c>
      <c r="AY34" s="85">
        <f>P34</f>
        <v>30</v>
      </c>
      <c r="AZ34" s="85">
        <f>IF(J34="CONSTANTE",AVERAGE(AB34,AH34,AN34,AT34),(SUM(AB34,AH34,AN34,AT34)))</f>
        <v>58</v>
      </c>
      <c r="BA34" s="93">
        <v>1</v>
      </c>
      <c r="BB34" s="336">
        <f t="shared" si="11"/>
        <v>1.7000000000000001E-2</v>
      </c>
      <c r="BC34" s="114" t="s">
        <v>197</v>
      </c>
    </row>
    <row r="35" spans="1:55" ht="345.75" customHeight="1" thickBot="1">
      <c r="A35" s="125">
        <v>15</v>
      </c>
      <c r="B35" s="436"/>
      <c r="C35" s="392"/>
      <c r="D35" s="212" t="s">
        <v>198</v>
      </c>
      <c r="E35" s="290">
        <v>0.02</v>
      </c>
      <c r="F35" s="227" t="s">
        <v>54</v>
      </c>
      <c r="G35" s="58" t="s">
        <v>199</v>
      </c>
      <c r="H35" s="58" t="s">
        <v>200</v>
      </c>
      <c r="I35" s="51"/>
      <c r="J35" s="51" t="s">
        <v>57</v>
      </c>
      <c r="K35" s="84" t="s">
        <v>188</v>
      </c>
      <c r="L35" s="74">
        <v>22</v>
      </c>
      <c r="M35" s="74">
        <v>10</v>
      </c>
      <c r="N35" s="74">
        <v>0</v>
      </c>
      <c r="O35" s="74">
        <v>8</v>
      </c>
      <c r="P35" s="84">
        <f t="shared" si="12"/>
        <v>40</v>
      </c>
      <c r="Q35" s="84" t="s">
        <v>59</v>
      </c>
      <c r="R35" s="51" t="s">
        <v>201</v>
      </c>
      <c r="S35" s="51" t="s">
        <v>190</v>
      </c>
      <c r="T35" s="51" t="s">
        <v>62</v>
      </c>
      <c r="U35" s="51"/>
      <c r="V35" s="51"/>
      <c r="W35" s="51"/>
      <c r="X35" s="95"/>
      <c r="Y35" s="55"/>
      <c r="Z35" s="85" t="str">
        <f t="shared" si="0"/>
        <v>Acciones de Control u Operativos realizados en materia de actividad económica.</v>
      </c>
      <c r="AA35" s="85">
        <f t="shared" si="9"/>
        <v>22</v>
      </c>
      <c r="AB35" s="84">
        <v>10</v>
      </c>
      <c r="AC35" s="89">
        <f>(AB35/AA35)</f>
        <v>0.45454545454545453</v>
      </c>
      <c r="AD35" s="90" t="s">
        <v>202</v>
      </c>
      <c r="AE35" s="90" t="s">
        <v>203</v>
      </c>
      <c r="AF35" s="85" t="str">
        <f t="shared" si="1"/>
        <v>Acciones de Control u Operativos realizados en materia de actividad económica.</v>
      </c>
      <c r="AG35" s="91">
        <f t="shared" si="2"/>
        <v>10</v>
      </c>
      <c r="AH35" s="327">
        <v>22</v>
      </c>
      <c r="AI35" s="89">
        <v>1</v>
      </c>
      <c r="AJ35" s="326" t="s">
        <v>204</v>
      </c>
      <c r="AK35" s="84" t="s">
        <v>205</v>
      </c>
      <c r="AL35" s="85" t="str">
        <f t="shared" si="3"/>
        <v>Acciones de Control u Operativos realizados en materia de actividad económica.</v>
      </c>
      <c r="AM35" s="85">
        <f>N35</f>
        <v>0</v>
      </c>
      <c r="AN35" s="84">
        <v>21</v>
      </c>
      <c r="AO35" s="89">
        <v>1</v>
      </c>
      <c r="AP35" s="321" t="s">
        <v>206</v>
      </c>
      <c r="AQ35" s="84" t="s">
        <v>207</v>
      </c>
      <c r="AR35" s="85" t="str">
        <f t="shared" si="4"/>
        <v>Acciones de Control u Operativos realizados en materia de actividad económica.</v>
      </c>
      <c r="AS35" s="85">
        <f t="shared" si="5"/>
        <v>8</v>
      </c>
      <c r="AT35" s="85">
        <v>14</v>
      </c>
      <c r="AU35" s="89">
        <v>1</v>
      </c>
      <c r="AV35" s="321" t="s">
        <v>208</v>
      </c>
      <c r="AW35" s="84" t="s">
        <v>209</v>
      </c>
      <c r="AX35" s="85" t="str">
        <f t="shared" si="6"/>
        <v>Acciones de Control u Operativos realizados en materia de actividad económica.</v>
      </c>
      <c r="AY35" s="85">
        <f t="shared" si="7"/>
        <v>40</v>
      </c>
      <c r="AZ35" s="85">
        <f t="shared" si="8"/>
        <v>67</v>
      </c>
      <c r="BA35" s="93">
        <v>1</v>
      </c>
      <c r="BB35" s="336">
        <f t="shared" si="11"/>
        <v>0.02</v>
      </c>
      <c r="BC35" s="114" t="s">
        <v>210</v>
      </c>
    </row>
    <row r="36" spans="1:55" ht="240.75" thickBot="1">
      <c r="A36" s="125">
        <v>16</v>
      </c>
      <c r="B36" s="436"/>
      <c r="C36" s="392"/>
      <c r="D36" s="212" t="s">
        <v>211</v>
      </c>
      <c r="E36" s="339">
        <v>0.02</v>
      </c>
      <c r="F36" s="227" t="s">
        <v>54</v>
      </c>
      <c r="G36" s="58" t="s">
        <v>212</v>
      </c>
      <c r="H36" s="58" t="s">
        <v>213</v>
      </c>
      <c r="I36" s="51"/>
      <c r="J36" s="51" t="s">
        <v>57</v>
      </c>
      <c r="K36" s="84" t="s">
        <v>188</v>
      </c>
      <c r="L36" s="74">
        <v>0</v>
      </c>
      <c r="M36" s="74">
        <v>8</v>
      </c>
      <c r="N36" s="74">
        <v>8</v>
      </c>
      <c r="O36" s="74">
        <v>8</v>
      </c>
      <c r="P36" s="84">
        <f t="shared" si="12"/>
        <v>24</v>
      </c>
      <c r="Q36" s="84" t="s">
        <v>59</v>
      </c>
      <c r="R36" s="51" t="s">
        <v>201</v>
      </c>
      <c r="S36" s="51" t="s">
        <v>190</v>
      </c>
      <c r="T36" s="51" t="s">
        <v>62</v>
      </c>
      <c r="U36" s="51"/>
      <c r="V36" s="51"/>
      <c r="W36" s="51"/>
      <c r="X36" s="95"/>
      <c r="Y36" s="55"/>
      <c r="Z36" s="85" t="str">
        <f t="shared" si="0"/>
        <v>Acciones de Control u Operativos realizados en obras y urbanismo</v>
      </c>
      <c r="AA36" s="85">
        <f t="shared" si="9"/>
        <v>0</v>
      </c>
      <c r="AB36" s="84">
        <v>0</v>
      </c>
      <c r="AC36" s="89"/>
      <c r="AD36" s="84" t="s">
        <v>63</v>
      </c>
      <c r="AE36" s="90"/>
      <c r="AF36" s="85" t="str">
        <f t="shared" si="1"/>
        <v>Acciones de Control u Operativos realizados en obras y urbanismo</v>
      </c>
      <c r="AG36" s="91">
        <f t="shared" si="2"/>
        <v>8</v>
      </c>
      <c r="AH36" s="91">
        <v>9</v>
      </c>
      <c r="AI36" s="89">
        <v>1</v>
      </c>
      <c r="AJ36" s="321" t="s">
        <v>214</v>
      </c>
      <c r="AK36" s="84" t="s">
        <v>215</v>
      </c>
      <c r="AL36" s="85" t="str">
        <f t="shared" si="3"/>
        <v>Acciones de Control u Operativos realizados en obras y urbanismo</v>
      </c>
      <c r="AM36" s="85">
        <f t="shared" si="10"/>
        <v>8</v>
      </c>
      <c r="AN36" s="84">
        <v>10</v>
      </c>
      <c r="AO36" s="89">
        <v>1</v>
      </c>
      <c r="AP36" s="321" t="s">
        <v>216</v>
      </c>
      <c r="AQ36" s="84" t="s">
        <v>215</v>
      </c>
      <c r="AR36" s="85" t="str">
        <f t="shared" si="4"/>
        <v>Acciones de Control u Operativos realizados en obras y urbanismo</v>
      </c>
      <c r="AS36" s="85">
        <f t="shared" si="5"/>
        <v>8</v>
      </c>
      <c r="AT36" s="85">
        <v>8</v>
      </c>
      <c r="AU36" s="89">
        <f>(AT36/AS36)</f>
        <v>1</v>
      </c>
      <c r="AV36" s="113" t="s">
        <v>217</v>
      </c>
      <c r="AW36" s="84" t="s">
        <v>215</v>
      </c>
      <c r="AX36" s="85" t="str">
        <f t="shared" si="6"/>
        <v>Acciones de Control u Operativos realizados en obras y urbanismo</v>
      </c>
      <c r="AY36" s="85">
        <f t="shared" si="7"/>
        <v>24</v>
      </c>
      <c r="AZ36" s="85">
        <f>IF(J36="CONSTANTE",AVERAGE(AB36,AH36,AN36,AT36),(SUM(AB36,AH36,AN36,AT36)))</f>
        <v>27</v>
      </c>
      <c r="BA36" s="93">
        <v>1</v>
      </c>
      <c r="BB36" s="336">
        <f t="shared" si="11"/>
        <v>0.02</v>
      </c>
      <c r="BC36" s="114" t="s">
        <v>218</v>
      </c>
    </row>
    <row r="37" spans="1:55" ht="409.6" thickBot="1">
      <c r="A37" s="125">
        <v>17</v>
      </c>
      <c r="B37" s="436"/>
      <c r="C37" s="392"/>
      <c r="D37" s="212" t="s">
        <v>219</v>
      </c>
      <c r="E37" s="339">
        <v>0.02</v>
      </c>
      <c r="F37" s="227" t="s">
        <v>220</v>
      </c>
      <c r="G37" s="58" t="s">
        <v>221</v>
      </c>
      <c r="H37" s="58" t="s">
        <v>222</v>
      </c>
      <c r="I37" s="51"/>
      <c r="J37" s="51" t="s">
        <v>57</v>
      </c>
      <c r="K37" s="84" t="s">
        <v>188</v>
      </c>
      <c r="L37" s="74">
        <v>1</v>
      </c>
      <c r="M37" s="74">
        <v>11</v>
      </c>
      <c r="N37" s="74"/>
      <c r="O37" s="74"/>
      <c r="P37" s="84">
        <f t="shared" si="12"/>
        <v>12</v>
      </c>
      <c r="Q37" s="84" t="s">
        <v>59</v>
      </c>
      <c r="R37" s="51" t="s">
        <v>201</v>
      </c>
      <c r="S37" s="51" t="s">
        <v>190</v>
      </c>
      <c r="T37" s="51" t="s">
        <v>62</v>
      </c>
      <c r="U37" s="51"/>
      <c r="V37" s="51"/>
      <c r="W37" s="51"/>
      <c r="X37" s="95"/>
      <c r="Y37" s="55"/>
      <c r="Z37" s="85" t="str">
        <f t="shared" si="0"/>
        <v xml:space="preserve">Acciones de Control u Operativos realizados en Ambiente, Mineria y Relaciones con los animales </v>
      </c>
      <c r="AA37" s="85">
        <f t="shared" si="9"/>
        <v>1</v>
      </c>
      <c r="AB37" s="84">
        <v>2</v>
      </c>
      <c r="AC37" s="89">
        <v>1</v>
      </c>
      <c r="AD37" s="90" t="s">
        <v>223</v>
      </c>
      <c r="AE37" s="90" t="s">
        <v>224</v>
      </c>
      <c r="AF37" s="85" t="str">
        <f t="shared" si="1"/>
        <v xml:space="preserve">Acciones de Control u Operativos realizados en Ambiente, Mineria y Relaciones con los animales </v>
      </c>
      <c r="AG37" s="91">
        <f t="shared" si="2"/>
        <v>11</v>
      </c>
      <c r="AH37" s="91">
        <v>11</v>
      </c>
      <c r="AI37" s="89">
        <v>1</v>
      </c>
      <c r="AJ37" s="321" t="s">
        <v>225</v>
      </c>
      <c r="AK37" s="84" t="s">
        <v>224</v>
      </c>
      <c r="AL37" s="85" t="str">
        <f t="shared" si="3"/>
        <v xml:space="preserve">Acciones de Control u Operativos realizados en Ambiente, Mineria y Relaciones con los animales </v>
      </c>
      <c r="AM37" s="85">
        <f t="shared" si="10"/>
        <v>0</v>
      </c>
      <c r="AN37" s="84">
        <v>0</v>
      </c>
      <c r="AO37" s="89"/>
      <c r="AP37" s="321" t="s">
        <v>226</v>
      </c>
      <c r="AQ37" s="84" t="s">
        <v>63</v>
      </c>
      <c r="AR37" s="85" t="str">
        <f t="shared" si="4"/>
        <v xml:space="preserve">Acciones de Control u Operativos realizados en Ambiente, Mineria y Relaciones con los animales </v>
      </c>
      <c r="AS37" s="85">
        <f t="shared" si="5"/>
        <v>0</v>
      </c>
      <c r="AT37" s="85">
        <v>12</v>
      </c>
      <c r="AU37" s="89">
        <f>(AT36/AS36)</f>
        <v>1</v>
      </c>
      <c r="AV37" s="113" t="s">
        <v>227</v>
      </c>
      <c r="AW37" s="84" t="s">
        <v>228</v>
      </c>
      <c r="AX37" s="85" t="str">
        <f t="shared" si="6"/>
        <v xml:space="preserve">Acciones de Control u Operativos realizados en Ambiente, Mineria y Relaciones con los animales </v>
      </c>
      <c r="AY37" s="85">
        <f t="shared" si="7"/>
        <v>12</v>
      </c>
      <c r="AZ37" s="85">
        <f t="shared" si="8"/>
        <v>25</v>
      </c>
      <c r="BA37" s="93">
        <v>1</v>
      </c>
      <c r="BB37" s="336">
        <f t="shared" si="11"/>
        <v>0.02</v>
      </c>
      <c r="BC37" s="114" t="s">
        <v>229</v>
      </c>
    </row>
    <row r="38" spans="1:55" ht="113.25" customHeight="1" thickBot="1">
      <c r="A38" s="125">
        <v>18</v>
      </c>
      <c r="B38" s="436"/>
      <c r="C38" s="392"/>
      <c r="D38" s="212" t="s">
        <v>230</v>
      </c>
      <c r="E38" s="339">
        <v>0.02</v>
      </c>
      <c r="F38" s="227" t="s">
        <v>54</v>
      </c>
      <c r="G38" s="58" t="s">
        <v>231</v>
      </c>
      <c r="H38" s="58" t="s">
        <v>232</v>
      </c>
      <c r="I38" s="51"/>
      <c r="J38" s="51" t="s">
        <v>57</v>
      </c>
      <c r="K38" s="84" t="s">
        <v>188</v>
      </c>
      <c r="L38" s="74">
        <v>0</v>
      </c>
      <c r="M38" s="74">
        <v>0</v>
      </c>
      <c r="N38" s="74">
        <v>0</v>
      </c>
      <c r="O38" s="74">
        <v>2</v>
      </c>
      <c r="P38" s="51">
        <f t="shared" si="12"/>
        <v>2</v>
      </c>
      <c r="Q38" s="84" t="s">
        <v>59</v>
      </c>
      <c r="R38" s="51" t="s">
        <v>201</v>
      </c>
      <c r="S38" s="51" t="s">
        <v>190</v>
      </c>
      <c r="T38" s="51" t="s">
        <v>62</v>
      </c>
      <c r="U38" s="51"/>
      <c r="V38" s="51"/>
      <c r="W38" s="51"/>
      <c r="X38" s="95"/>
      <c r="Y38" s="55"/>
      <c r="Z38" s="85" t="str">
        <f t="shared" si="0"/>
        <v>Acciones de Control u Operativos realizados en Convivencia relacionados con artículos pirotécnicos y sustancias peligrosas</v>
      </c>
      <c r="AA38" s="85">
        <f t="shared" si="9"/>
        <v>0</v>
      </c>
      <c r="AB38" s="84">
        <v>0</v>
      </c>
      <c r="AC38" s="89"/>
      <c r="AD38" s="90" t="s">
        <v>76</v>
      </c>
      <c r="AE38" s="84" t="s">
        <v>63</v>
      </c>
      <c r="AF38" s="85" t="str">
        <f t="shared" si="1"/>
        <v>Acciones de Control u Operativos realizados en Convivencia relacionados con artículos pirotécnicos y sustancias peligrosas</v>
      </c>
      <c r="AG38" s="91">
        <f t="shared" si="2"/>
        <v>0</v>
      </c>
      <c r="AH38" s="91">
        <v>0</v>
      </c>
      <c r="AI38" s="89"/>
      <c r="AJ38" s="84" t="s">
        <v>87</v>
      </c>
      <c r="AK38" s="84" t="s">
        <v>63</v>
      </c>
      <c r="AL38" s="85" t="str">
        <f t="shared" si="3"/>
        <v>Acciones de Control u Operativos realizados en Convivencia relacionados con artículos pirotécnicos y sustancias peligrosas</v>
      </c>
      <c r="AM38" s="85">
        <f t="shared" si="10"/>
        <v>0</v>
      </c>
      <c r="AN38" s="91">
        <v>0</v>
      </c>
      <c r="AO38" s="89"/>
      <c r="AP38" s="84" t="s">
        <v>87</v>
      </c>
      <c r="AQ38" s="84" t="s">
        <v>63</v>
      </c>
      <c r="AR38" s="85" t="str">
        <f t="shared" si="4"/>
        <v>Acciones de Control u Operativos realizados en Convivencia relacionados con artículos pirotécnicos y sustancias peligrosas</v>
      </c>
      <c r="AS38" s="85">
        <f t="shared" si="5"/>
        <v>2</v>
      </c>
      <c r="AT38" s="85">
        <v>10</v>
      </c>
      <c r="AU38" s="89">
        <v>1</v>
      </c>
      <c r="AV38" s="113" t="s">
        <v>233</v>
      </c>
      <c r="AW38" s="84" t="s">
        <v>234</v>
      </c>
      <c r="AX38" s="85" t="str">
        <f t="shared" si="6"/>
        <v>Acciones de Control u Operativos realizados en Convivencia relacionados con artículos pirotécnicos y sustancias peligrosas</v>
      </c>
      <c r="AY38" s="85">
        <f t="shared" si="7"/>
        <v>2</v>
      </c>
      <c r="AZ38" s="85">
        <f t="shared" si="8"/>
        <v>10</v>
      </c>
      <c r="BA38" s="93">
        <v>1</v>
      </c>
      <c r="BB38" s="336">
        <f t="shared" si="11"/>
        <v>0.02</v>
      </c>
      <c r="BC38" s="114" t="s">
        <v>235</v>
      </c>
    </row>
    <row r="39" spans="1:55" ht="175.5" customHeight="1" thickBot="1">
      <c r="A39" s="125">
        <v>20</v>
      </c>
      <c r="B39" s="436"/>
      <c r="C39" s="392"/>
      <c r="D39" s="269" t="s">
        <v>236</v>
      </c>
      <c r="E39" s="339">
        <v>0.01</v>
      </c>
      <c r="F39" s="227" t="s">
        <v>54</v>
      </c>
      <c r="G39" s="58" t="s">
        <v>237</v>
      </c>
      <c r="H39" s="58" t="s">
        <v>238</v>
      </c>
      <c r="I39" s="51">
        <v>1266</v>
      </c>
      <c r="J39" s="51" t="s">
        <v>57</v>
      </c>
      <c r="K39" s="51" t="s">
        <v>239</v>
      </c>
      <c r="L39" s="52">
        <v>0.24</v>
      </c>
      <c r="M39" s="276">
        <v>0.15</v>
      </c>
      <c r="N39" s="276">
        <v>0.08</v>
      </c>
      <c r="O39" s="276">
        <v>0.08</v>
      </c>
      <c r="P39" s="52">
        <f t="shared" si="12"/>
        <v>0.55000000000000004</v>
      </c>
      <c r="Q39" s="84" t="s">
        <v>59</v>
      </c>
      <c r="R39" s="51" t="s">
        <v>240</v>
      </c>
      <c r="S39" s="51" t="s">
        <v>241</v>
      </c>
      <c r="T39" s="51" t="s">
        <v>62</v>
      </c>
      <c r="U39" s="51"/>
      <c r="V39" s="51"/>
      <c r="W39" s="51"/>
      <c r="X39" s="95"/>
      <c r="Y39" s="55"/>
      <c r="Z39" s="85" t="str">
        <f t="shared" si="0"/>
        <v>Querellas civiles de policia y contravencionales resueltas</v>
      </c>
      <c r="AA39" s="94">
        <f t="shared" si="9"/>
        <v>0.24</v>
      </c>
      <c r="AB39" s="92">
        <f>308/1266</f>
        <v>0.24328593996840442</v>
      </c>
      <c r="AC39" s="89">
        <f>(AB39/AA39)</f>
        <v>1.0136914165350184</v>
      </c>
      <c r="AD39" s="90" t="s">
        <v>242</v>
      </c>
      <c r="AE39" s="90" t="s">
        <v>243</v>
      </c>
      <c r="AF39" s="85" t="str">
        <f t="shared" si="1"/>
        <v>Querellas civiles de policia y contravencionales resueltas</v>
      </c>
      <c r="AG39" s="91">
        <f t="shared" si="2"/>
        <v>0.15</v>
      </c>
      <c r="AH39" s="92">
        <f>206/1266</f>
        <v>0.1627172195892575</v>
      </c>
      <c r="AI39" s="89">
        <v>1</v>
      </c>
      <c r="AJ39" s="321" t="s">
        <v>244</v>
      </c>
      <c r="AK39" s="84" t="s">
        <v>245</v>
      </c>
      <c r="AL39" s="85" t="str">
        <f t="shared" si="3"/>
        <v>Querellas civiles de policia y contravencionales resueltas</v>
      </c>
      <c r="AM39" s="94">
        <f t="shared" si="10"/>
        <v>0.08</v>
      </c>
      <c r="AN39" s="92">
        <f>128/1266</f>
        <v>0.10110584518167456</v>
      </c>
      <c r="AO39" s="89">
        <v>1</v>
      </c>
      <c r="AP39" s="321" t="s">
        <v>246</v>
      </c>
      <c r="AQ39" s="84" t="s">
        <v>245</v>
      </c>
      <c r="AR39" s="85" t="str">
        <f t="shared" si="4"/>
        <v>Querellas civiles de policia y contravencionales resueltas</v>
      </c>
      <c r="AS39" s="85">
        <f t="shared" si="5"/>
        <v>0.08</v>
      </c>
      <c r="AT39" s="86">
        <f>106/1266</f>
        <v>8.3728278041074244E-2</v>
      </c>
      <c r="AU39" s="89">
        <v>1</v>
      </c>
      <c r="AV39" s="113" t="s">
        <v>247</v>
      </c>
      <c r="AW39" s="84" t="s">
        <v>245</v>
      </c>
      <c r="AX39" s="85" t="str">
        <f t="shared" si="6"/>
        <v>Querellas civiles de policia y contravencionales resueltas</v>
      </c>
      <c r="AY39" s="94">
        <f t="shared" si="7"/>
        <v>0.55000000000000004</v>
      </c>
      <c r="AZ39" s="94">
        <f t="shared" si="8"/>
        <v>0.5908372827804107</v>
      </c>
      <c r="BA39" s="93">
        <v>1</v>
      </c>
      <c r="BB39" s="336">
        <f t="shared" si="11"/>
        <v>0.01</v>
      </c>
      <c r="BC39" s="114" t="s">
        <v>248</v>
      </c>
    </row>
    <row r="40" spans="1:55" ht="294" thickBot="1">
      <c r="A40" s="125">
        <v>21</v>
      </c>
      <c r="B40" s="436"/>
      <c r="C40" s="392"/>
      <c r="D40" s="212" t="s">
        <v>249</v>
      </c>
      <c r="E40" s="340">
        <v>1.4999999999999999E-2</v>
      </c>
      <c r="F40" s="227" t="s">
        <v>54</v>
      </c>
      <c r="G40" s="58" t="s">
        <v>250</v>
      </c>
      <c r="H40" s="58" t="s">
        <v>251</v>
      </c>
      <c r="I40" s="51">
        <v>6699</v>
      </c>
      <c r="J40" s="51" t="s">
        <v>57</v>
      </c>
      <c r="K40" s="51" t="s">
        <v>252</v>
      </c>
      <c r="L40" s="52">
        <v>0</v>
      </c>
      <c r="M40" s="52">
        <v>3.5000000000000003E-2</v>
      </c>
      <c r="N40" s="52">
        <v>3.5000000000000003E-2</v>
      </c>
      <c r="O40" s="52">
        <v>0.03</v>
      </c>
      <c r="P40" s="52">
        <f t="shared" si="12"/>
        <v>0.1</v>
      </c>
      <c r="Q40" s="84" t="s">
        <v>59</v>
      </c>
      <c r="R40" s="51" t="s">
        <v>240</v>
      </c>
      <c r="S40" s="51" t="s">
        <v>241</v>
      </c>
      <c r="T40" s="51" t="s">
        <v>62</v>
      </c>
      <c r="U40" s="51"/>
      <c r="V40" s="51"/>
      <c r="W40" s="51"/>
      <c r="X40" s="95"/>
      <c r="Y40" s="55"/>
      <c r="Z40" s="85" t="str">
        <f t="shared" si="0"/>
        <v>Ejecución plan de descongestión</v>
      </c>
      <c r="AA40" s="85">
        <f t="shared" si="9"/>
        <v>0</v>
      </c>
      <c r="AB40" s="84">
        <v>0</v>
      </c>
      <c r="AC40" s="89"/>
      <c r="AD40" s="90" t="s">
        <v>76</v>
      </c>
      <c r="AE40" s="84" t="s">
        <v>63</v>
      </c>
      <c r="AF40" s="85" t="str">
        <f t="shared" si="1"/>
        <v>Ejecución plan de descongestión</v>
      </c>
      <c r="AG40" s="330">
        <f t="shared" si="2"/>
        <v>3.5000000000000003E-2</v>
      </c>
      <c r="AH40" s="328">
        <f>38/6699</f>
        <v>5.6724884311091205E-3</v>
      </c>
      <c r="AI40" s="89">
        <f>(AH40/AG40)</f>
        <v>0.16207109803168915</v>
      </c>
      <c r="AJ40" s="326" t="s">
        <v>253</v>
      </c>
      <c r="AK40" s="84" t="s">
        <v>254</v>
      </c>
      <c r="AL40" s="85" t="str">
        <f t="shared" si="3"/>
        <v>Ejecución plan de descongestión</v>
      </c>
      <c r="AM40" s="94">
        <f t="shared" si="10"/>
        <v>3.5000000000000003E-2</v>
      </c>
      <c r="AN40" s="328">
        <f>97/6699</f>
        <v>1.4479773100462756E-2</v>
      </c>
      <c r="AO40" s="89">
        <f>(AN40/AM40)</f>
        <v>0.41370780287036441</v>
      </c>
      <c r="AP40" s="321" t="s">
        <v>255</v>
      </c>
      <c r="AQ40" s="84" t="s">
        <v>254</v>
      </c>
      <c r="AR40" s="85" t="str">
        <f t="shared" si="4"/>
        <v>Ejecución plan de descongestión</v>
      </c>
      <c r="AS40" s="85">
        <f t="shared" si="5"/>
        <v>0.03</v>
      </c>
      <c r="AT40" s="94">
        <f>114/6699</f>
        <v>1.7017465293327361E-2</v>
      </c>
      <c r="AU40" s="89">
        <f>(AT40/AS40)</f>
        <v>0.56724884311091206</v>
      </c>
      <c r="AV40" s="113" t="s">
        <v>256</v>
      </c>
      <c r="AW40" s="84" t="s">
        <v>254</v>
      </c>
      <c r="AX40" s="85" t="str">
        <f t="shared" si="6"/>
        <v>Ejecución plan de descongestión</v>
      </c>
      <c r="AY40" s="94">
        <f t="shared" si="7"/>
        <v>0.1</v>
      </c>
      <c r="AZ40" s="94">
        <f>IF(J40="CONSTANTE",AVERAGE(AB40,AH40,AN40,AT40),(SUM(AB40,AH40,AN40,AT40)))</f>
        <v>3.7169726824899232E-2</v>
      </c>
      <c r="BA40" s="93">
        <f>AZ40/AY40</f>
        <v>0.3716972682489923</v>
      </c>
      <c r="BB40" s="336">
        <f t="shared" si="11"/>
        <v>5.5754590237348843E-3</v>
      </c>
      <c r="BC40" s="114" t="s">
        <v>257</v>
      </c>
    </row>
    <row r="41" spans="1:55" ht="228" customHeight="1" thickBot="1">
      <c r="A41" s="125">
        <v>22</v>
      </c>
      <c r="B41" s="436"/>
      <c r="C41" s="392"/>
      <c r="D41" s="212" t="s">
        <v>258</v>
      </c>
      <c r="E41" s="340">
        <v>1.4999999999999999E-2</v>
      </c>
      <c r="F41" s="236" t="s">
        <v>220</v>
      </c>
      <c r="G41" s="300" t="s">
        <v>259</v>
      </c>
      <c r="H41" s="300" t="s">
        <v>260</v>
      </c>
      <c r="I41" s="301"/>
      <c r="J41" s="317" t="s">
        <v>107</v>
      </c>
      <c r="K41" s="301" t="s">
        <v>261</v>
      </c>
      <c r="L41" s="276">
        <v>1</v>
      </c>
      <c r="M41" s="276">
        <v>1</v>
      </c>
      <c r="N41" s="276">
        <v>1</v>
      </c>
      <c r="O41" s="276">
        <v>1</v>
      </c>
      <c r="P41" s="276">
        <v>1</v>
      </c>
      <c r="Q41" s="287" t="s">
        <v>59</v>
      </c>
      <c r="R41" s="301" t="s">
        <v>240</v>
      </c>
      <c r="S41" s="301" t="s">
        <v>241</v>
      </c>
      <c r="T41" s="301" t="s">
        <v>62</v>
      </c>
      <c r="U41" s="301"/>
      <c r="V41" s="301"/>
      <c r="W41" s="301"/>
      <c r="X41" s="297"/>
      <c r="Y41" s="302"/>
      <c r="Z41" s="298" t="str">
        <f t="shared" si="0"/>
        <v>Actuaciones administrativas registradas en el aplicativo</v>
      </c>
      <c r="AA41" s="303">
        <f t="shared" si="9"/>
        <v>1</v>
      </c>
      <c r="AB41" s="304">
        <f>69/69</f>
        <v>1</v>
      </c>
      <c r="AC41" s="299">
        <f>(AB41/AA41)</f>
        <v>1</v>
      </c>
      <c r="AD41" s="90" t="s">
        <v>262</v>
      </c>
      <c r="AE41" s="90" t="s">
        <v>254</v>
      </c>
      <c r="AF41" s="85" t="str">
        <f t="shared" si="1"/>
        <v>Actuaciones administrativas registradas en el aplicativo</v>
      </c>
      <c r="AG41" s="91">
        <f t="shared" si="2"/>
        <v>1</v>
      </c>
      <c r="AH41" s="92">
        <f>102/102</f>
        <v>1</v>
      </c>
      <c r="AI41" s="89">
        <f>(AH41/AG41)</f>
        <v>1</v>
      </c>
      <c r="AJ41" s="321" t="s">
        <v>263</v>
      </c>
      <c r="AK41" s="84" t="s">
        <v>264</v>
      </c>
      <c r="AL41" s="85" t="str">
        <f t="shared" si="3"/>
        <v>Actuaciones administrativas registradas en el aplicativo</v>
      </c>
      <c r="AM41" s="85">
        <f t="shared" si="10"/>
        <v>1</v>
      </c>
      <c r="AN41" s="84">
        <f>73/73</f>
        <v>1</v>
      </c>
      <c r="AO41" s="89">
        <f>(AN41/AM41)</f>
        <v>1</v>
      </c>
      <c r="AP41" s="321" t="s">
        <v>265</v>
      </c>
      <c r="AQ41" s="84" t="s">
        <v>264</v>
      </c>
      <c r="AR41" s="85" t="str">
        <f t="shared" si="4"/>
        <v>Actuaciones administrativas registradas en el aplicativo</v>
      </c>
      <c r="AS41" s="85">
        <f t="shared" si="5"/>
        <v>1</v>
      </c>
      <c r="AT41" s="86">
        <f>157/157</f>
        <v>1</v>
      </c>
      <c r="AU41" s="89">
        <f>(AT41/AS41)</f>
        <v>1</v>
      </c>
      <c r="AV41" s="113" t="s">
        <v>266</v>
      </c>
      <c r="AW41" s="84" t="s">
        <v>264</v>
      </c>
      <c r="AX41" s="85" t="str">
        <f t="shared" si="6"/>
        <v>Actuaciones administrativas registradas en el aplicativo</v>
      </c>
      <c r="AY41" s="85">
        <f t="shared" si="7"/>
        <v>1</v>
      </c>
      <c r="AZ41" s="94">
        <f t="shared" si="8"/>
        <v>1</v>
      </c>
      <c r="BA41" s="93">
        <f>AZ41/AY41</f>
        <v>1</v>
      </c>
      <c r="BB41" s="336">
        <f t="shared" si="11"/>
        <v>1.4999999999999999E-2</v>
      </c>
      <c r="BC41" s="114" t="s">
        <v>267</v>
      </c>
    </row>
    <row r="42" spans="1:55" ht="219.75" customHeight="1" thickBot="1">
      <c r="A42" s="125">
        <v>23</v>
      </c>
      <c r="B42" s="436"/>
      <c r="C42" s="392"/>
      <c r="D42" s="212" t="s">
        <v>268</v>
      </c>
      <c r="E42" s="292">
        <v>0.02</v>
      </c>
      <c r="F42" s="227" t="s">
        <v>220</v>
      </c>
      <c r="G42" s="58" t="s">
        <v>269</v>
      </c>
      <c r="H42" s="58" t="s">
        <v>270</v>
      </c>
      <c r="I42" s="138"/>
      <c r="J42" s="138" t="s">
        <v>107</v>
      </c>
      <c r="K42" s="138" t="s">
        <v>271</v>
      </c>
      <c r="L42" s="52">
        <v>1</v>
      </c>
      <c r="M42" s="52">
        <v>1</v>
      </c>
      <c r="N42" s="52">
        <v>1</v>
      </c>
      <c r="O42" s="52">
        <v>1</v>
      </c>
      <c r="P42" s="52">
        <v>1</v>
      </c>
      <c r="Q42" s="84" t="s">
        <v>59</v>
      </c>
      <c r="R42" s="51" t="s">
        <v>240</v>
      </c>
      <c r="S42" s="51" t="s">
        <v>241</v>
      </c>
      <c r="T42" s="138" t="s">
        <v>62</v>
      </c>
      <c r="U42" s="138"/>
      <c r="V42" s="138"/>
      <c r="W42" s="138"/>
      <c r="X42" s="95"/>
      <c r="Y42" s="141"/>
      <c r="Z42" s="85" t="str">
        <f t="shared" si="0"/>
        <v>Actuaciones policivas registradas en el aplicativo</v>
      </c>
      <c r="AA42" s="94">
        <f t="shared" si="9"/>
        <v>1</v>
      </c>
      <c r="AB42" s="92">
        <f>1379/1379</f>
        <v>1</v>
      </c>
      <c r="AC42" s="89">
        <f>(AB42/AA42)</f>
        <v>1</v>
      </c>
      <c r="AD42" s="90" t="s">
        <v>272</v>
      </c>
      <c r="AE42" s="90" t="s">
        <v>273</v>
      </c>
      <c r="AF42" s="85" t="str">
        <f t="shared" si="1"/>
        <v>Actuaciones policivas registradas en el aplicativo</v>
      </c>
      <c r="AG42" s="91">
        <f t="shared" si="2"/>
        <v>1</v>
      </c>
      <c r="AH42" s="92">
        <f>1696/1696</f>
        <v>1</v>
      </c>
      <c r="AI42" s="89">
        <f>(AH42/AG42)</f>
        <v>1</v>
      </c>
      <c r="AJ42" s="321" t="s">
        <v>274</v>
      </c>
      <c r="AK42" s="84" t="s">
        <v>273</v>
      </c>
      <c r="AL42" s="85" t="str">
        <f t="shared" si="3"/>
        <v>Actuaciones policivas registradas en el aplicativo</v>
      </c>
      <c r="AM42" s="85">
        <f t="shared" si="10"/>
        <v>1</v>
      </c>
      <c r="AN42" s="92">
        <f>1196/1470</f>
        <v>0.8136054421768707</v>
      </c>
      <c r="AO42" s="89">
        <f>(AN42/AM42)</f>
        <v>0.8136054421768707</v>
      </c>
      <c r="AP42" s="321" t="s">
        <v>275</v>
      </c>
      <c r="AQ42" s="84" t="s">
        <v>273</v>
      </c>
      <c r="AR42" s="85" t="str">
        <f t="shared" si="4"/>
        <v>Actuaciones policivas registradas en el aplicativo</v>
      </c>
      <c r="AS42" s="94">
        <f t="shared" si="5"/>
        <v>1</v>
      </c>
      <c r="AT42" s="86">
        <f>812/812</f>
        <v>1</v>
      </c>
      <c r="AU42" s="89">
        <f>(AT42/AS42)</f>
        <v>1</v>
      </c>
      <c r="AV42" s="113" t="s">
        <v>276</v>
      </c>
      <c r="AW42" s="84" t="s">
        <v>273</v>
      </c>
      <c r="AX42" s="85" t="str">
        <f t="shared" si="6"/>
        <v>Actuaciones policivas registradas en el aplicativo</v>
      </c>
      <c r="AY42" s="85">
        <f t="shared" si="7"/>
        <v>1</v>
      </c>
      <c r="AZ42" s="94">
        <f t="shared" si="8"/>
        <v>0.95340136054421765</v>
      </c>
      <c r="BA42" s="93">
        <f>AZ42/AY42</f>
        <v>0.95340136054421765</v>
      </c>
      <c r="BB42" s="336">
        <f t="shared" si="11"/>
        <v>1.9068027210884353E-2</v>
      </c>
      <c r="BC42" s="114" t="s">
        <v>277</v>
      </c>
    </row>
    <row r="43" spans="1:55" ht="254.25" customHeight="1" thickBot="1">
      <c r="A43" s="125">
        <v>24</v>
      </c>
      <c r="B43" s="436"/>
      <c r="C43" s="392"/>
      <c r="D43" s="269" t="s">
        <v>278</v>
      </c>
      <c r="E43" s="341">
        <v>1.4999999999999999E-2</v>
      </c>
      <c r="F43" s="228" t="s">
        <v>220</v>
      </c>
      <c r="G43" s="58" t="s">
        <v>279</v>
      </c>
      <c r="H43" s="58" t="s">
        <v>280</v>
      </c>
      <c r="I43" s="138">
        <v>252</v>
      </c>
      <c r="J43" s="138" t="s">
        <v>57</v>
      </c>
      <c r="K43" s="138" t="s">
        <v>281</v>
      </c>
      <c r="L43" s="278">
        <v>0.03</v>
      </c>
      <c r="M43" s="278">
        <v>0.28000000000000003</v>
      </c>
      <c r="N43" s="278">
        <v>0.4</v>
      </c>
      <c r="O43" s="278">
        <v>0.28999999999999998</v>
      </c>
      <c r="P43" s="83">
        <f>SUM(L43:O43)</f>
        <v>1</v>
      </c>
      <c r="Q43" s="84" t="s">
        <v>59</v>
      </c>
      <c r="R43" s="51" t="s">
        <v>240</v>
      </c>
      <c r="S43" s="51" t="s">
        <v>241</v>
      </c>
      <c r="T43" s="138" t="s">
        <v>62</v>
      </c>
      <c r="U43" s="138"/>
      <c r="V43" s="138"/>
      <c r="W43" s="138"/>
      <c r="X43" s="95"/>
      <c r="Y43" s="141"/>
      <c r="Z43" s="85" t="str">
        <f t="shared" si="0"/>
        <v>Actuaciones administrativas impulsadas</v>
      </c>
      <c r="AA43" s="94">
        <f t="shared" si="9"/>
        <v>0.03</v>
      </c>
      <c r="AB43" s="92">
        <f>7/252</f>
        <v>2.7777777777777776E-2</v>
      </c>
      <c r="AC43" s="89">
        <f>(AB43/AA43)</f>
        <v>0.92592592592592593</v>
      </c>
      <c r="AD43" s="90" t="s">
        <v>282</v>
      </c>
      <c r="AE43" s="90" t="s">
        <v>283</v>
      </c>
      <c r="AF43" s="85" t="str">
        <f t="shared" si="1"/>
        <v>Actuaciones administrativas impulsadas</v>
      </c>
      <c r="AG43" s="91">
        <f t="shared" si="2"/>
        <v>0.28000000000000003</v>
      </c>
      <c r="AH43" s="92">
        <f>105/252</f>
        <v>0.41666666666666669</v>
      </c>
      <c r="AI43" s="89">
        <v>1</v>
      </c>
      <c r="AJ43" s="321" t="s">
        <v>284</v>
      </c>
      <c r="AK43" s="84" t="s">
        <v>285</v>
      </c>
      <c r="AL43" s="85" t="str">
        <f t="shared" si="3"/>
        <v>Actuaciones administrativas impulsadas</v>
      </c>
      <c r="AM43" s="94">
        <f t="shared" si="10"/>
        <v>0.4</v>
      </c>
      <c r="AN43" s="92">
        <f>110/252</f>
        <v>0.43650793650793651</v>
      </c>
      <c r="AO43" s="89">
        <v>1</v>
      </c>
      <c r="AP43" s="321" t="s">
        <v>286</v>
      </c>
      <c r="AQ43" s="84" t="s">
        <v>285</v>
      </c>
      <c r="AR43" s="85" t="str">
        <f t="shared" si="4"/>
        <v>Actuaciones administrativas impulsadas</v>
      </c>
      <c r="AS43" s="94">
        <f t="shared" si="5"/>
        <v>0.28999999999999998</v>
      </c>
      <c r="AT43" s="86">
        <f>137/252</f>
        <v>0.54365079365079361</v>
      </c>
      <c r="AU43" s="89">
        <v>1</v>
      </c>
      <c r="AV43" s="113" t="s">
        <v>287</v>
      </c>
      <c r="AW43" s="84" t="s">
        <v>288</v>
      </c>
      <c r="AX43" s="85" t="str">
        <f t="shared" si="6"/>
        <v>Actuaciones administrativas impulsadas</v>
      </c>
      <c r="AY43" s="94">
        <f t="shared" si="7"/>
        <v>1</v>
      </c>
      <c r="AZ43" s="94">
        <f>IF(J43="CONSTANTE",AVERAGE(AB43,AH43,AN43,AT43),(SUM(AB43,AH43,AN43,AT43)))</f>
        <v>1.4246031746031744</v>
      </c>
      <c r="BA43" s="93">
        <v>1</v>
      </c>
      <c r="BB43" s="336">
        <f t="shared" si="11"/>
        <v>1.4999999999999999E-2</v>
      </c>
      <c r="BC43" s="114" t="s">
        <v>289</v>
      </c>
    </row>
    <row r="44" spans="1:55" ht="217.5" customHeight="1" thickBot="1">
      <c r="A44" s="125">
        <v>25</v>
      </c>
      <c r="B44" s="436"/>
      <c r="C44" s="392"/>
      <c r="D44" s="271" t="s">
        <v>290</v>
      </c>
      <c r="E44" s="342">
        <v>8.0000000000000002E-3</v>
      </c>
      <c r="F44" s="233" t="s">
        <v>104</v>
      </c>
      <c r="G44" s="145" t="s">
        <v>291</v>
      </c>
      <c r="H44" s="145" t="s">
        <v>292</v>
      </c>
      <c r="I44" s="81">
        <v>15</v>
      </c>
      <c r="J44" s="318" t="s">
        <v>57</v>
      </c>
      <c r="K44" s="81" t="s">
        <v>293</v>
      </c>
      <c r="L44" s="83">
        <v>0</v>
      </c>
      <c r="M44" s="83">
        <v>0</v>
      </c>
      <c r="N44" s="83">
        <v>0.05</v>
      </c>
      <c r="O44" s="83">
        <v>0.05</v>
      </c>
      <c r="P44" s="83">
        <f>SUM(L44:O44)</f>
        <v>0.1</v>
      </c>
      <c r="Q44" s="84" t="s">
        <v>59</v>
      </c>
      <c r="R44" s="51" t="s">
        <v>240</v>
      </c>
      <c r="S44" s="51" t="s">
        <v>241</v>
      </c>
      <c r="T44" s="81" t="s">
        <v>62</v>
      </c>
      <c r="U44" s="81"/>
      <c r="V44" s="81"/>
      <c r="W44" s="81"/>
      <c r="X44" s="95"/>
      <c r="Y44" s="96"/>
      <c r="Z44" s="85" t="str">
        <f t="shared" si="0"/>
        <v>Disminución Revocatorias Consejo de Justicia</v>
      </c>
      <c r="AA44" s="85">
        <f t="shared" si="9"/>
        <v>0</v>
      </c>
      <c r="AB44" s="84">
        <v>0</v>
      </c>
      <c r="AC44" s="89"/>
      <c r="AD44" s="90" t="s">
        <v>76</v>
      </c>
      <c r="AE44" s="90" t="s">
        <v>63</v>
      </c>
      <c r="AF44" s="85" t="str">
        <f t="shared" si="1"/>
        <v>Disminución Revocatorias Consejo de Justicia</v>
      </c>
      <c r="AG44" s="91">
        <f t="shared" si="2"/>
        <v>0</v>
      </c>
      <c r="AH44" s="92">
        <v>0</v>
      </c>
      <c r="AI44" s="89"/>
      <c r="AJ44" s="84" t="s">
        <v>87</v>
      </c>
      <c r="AK44" s="84" t="s">
        <v>63</v>
      </c>
      <c r="AL44" s="85" t="str">
        <f t="shared" si="3"/>
        <v>Disminución Revocatorias Consejo de Justicia</v>
      </c>
      <c r="AM44" s="85">
        <f t="shared" si="10"/>
        <v>0.05</v>
      </c>
      <c r="AN44" s="84">
        <f>0/26</f>
        <v>0</v>
      </c>
      <c r="AO44" s="89">
        <f>(AN44/AM44)</f>
        <v>0</v>
      </c>
      <c r="AP44" s="321" t="s">
        <v>294</v>
      </c>
      <c r="AQ44" s="84" t="s">
        <v>285</v>
      </c>
      <c r="AR44" s="85" t="str">
        <f t="shared" si="4"/>
        <v>Disminución Revocatorias Consejo de Justicia</v>
      </c>
      <c r="AS44" s="85">
        <f t="shared" si="5"/>
        <v>0.05</v>
      </c>
      <c r="AT44" s="86">
        <f>0/29</f>
        <v>0</v>
      </c>
      <c r="AU44" s="89">
        <f>(AT44/AS44)</f>
        <v>0</v>
      </c>
      <c r="AV44" s="321" t="s">
        <v>295</v>
      </c>
      <c r="AW44" s="84" t="s">
        <v>285</v>
      </c>
      <c r="AX44" s="85" t="str">
        <f t="shared" si="6"/>
        <v>Disminución Revocatorias Consejo de Justicia</v>
      </c>
      <c r="AY44" s="85">
        <f t="shared" si="7"/>
        <v>0.1</v>
      </c>
      <c r="AZ44" s="94">
        <f t="shared" si="8"/>
        <v>0</v>
      </c>
      <c r="BA44" s="93">
        <f>AZ44/AY44</f>
        <v>0</v>
      </c>
      <c r="BB44" s="336">
        <f t="shared" si="11"/>
        <v>0</v>
      </c>
      <c r="BC44" s="114" t="s">
        <v>296</v>
      </c>
    </row>
    <row r="45" spans="1:55" ht="93.75" customHeight="1" thickBot="1">
      <c r="A45" s="196"/>
      <c r="B45" s="436"/>
      <c r="C45" s="393"/>
      <c r="D45" s="213" t="s">
        <v>90</v>
      </c>
      <c r="E45" s="242">
        <v>0.18</v>
      </c>
      <c r="F45" s="231"/>
      <c r="G45" s="146"/>
      <c r="H45" s="147"/>
      <c r="I45" s="137"/>
      <c r="J45" s="133"/>
      <c r="K45" s="133"/>
      <c r="L45" s="135"/>
      <c r="M45" s="135"/>
      <c r="N45" s="135"/>
      <c r="O45" s="135"/>
      <c r="P45" s="133"/>
      <c r="Q45" s="133"/>
      <c r="R45" s="133"/>
      <c r="S45" s="133"/>
      <c r="T45" s="133"/>
      <c r="U45" s="133"/>
      <c r="V45" s="133"/>
      <c r="W45" s="133"/>
      <c r="X45" s="95"/>
      <c r="Y45" s="136"/>
      <c r="Z45" s="85"/>
      <c r="AA45" s="85"/>
      <c r="AB45" s="84"/>
      <c r="AC45" s="89"/>
      <c r="AD45" s="90"/>
      <c r="AE45" s="90"/>
      <c r="AF45" s="85"/>
      <c r="AG45" s="91"/>
      <c r="AH45" s="92"/>
      <c r="AI45" s="89"/>
      <c r="AJ45" s="84"/>
      <c r="AK45" s="84"/>
      <c r="AL45" s="85"/>
      <c r="AM45" s="85"/>
      <c r="AN45" s="84"/>
      <c r="AO45" s="89"/>
      <c r="AP45" s="84"/>
      <c r="AQ45" s="84"/>
      <c r="AR45" s="85"/>
      <c r="AS45" s="85"/>
      <c r="AT45" s="86"/>
      <c r="AU45" s="89"/>
      <c r="AV45" s="113"/>
      <c r="AW45" s="84"/>
      <c r="AX45" s="85"/>
      <c r="AY45" s="85"/>
      <c r="AZ45" s="94"/>
      <c r="BA45" s="93"/>
      <c r="BB45" s="336">
        <f>SUM(BB34:BB44)</f>
        <v>0.16164348623461927</v>
      </c>
      <c r="BC45" s="114"/>
    </row>
    <row r="46" spans="1:55" ht="409.6" thickBot="1">
      <c r="A46" s="124">
        <v>26</v>
      </c>
      <c r="B46" s="436"/>
      <c r="C46" s="386" t="s">
        <v>297</v>
      </c>
      <c r="D46" s="214" t="s">
        <v>298</v>
      </c>
      <c r="E46" s="277">
        <v>0.01</v>
      </c>
      <c r="F46" s="226" t="s">
        <v>54</v>
      </c>
      <c r="G46" s="58" t="s">
        <v>299</v>
      </c>
      <c r="H46" s="58" t="s">
        <v>300</v>
      </c>
      <c r="J46" s="84" t="s">
        <v>57</v>
      </c>
      <c r="K46" s="84" t="s">
        <v>301</v>
      </c>
      <c r="L46" s="279">
        <v>0.02</v>
      </c>
      <c r="M46" s="319">
        <v>0.5</v>
      </c>
      <c r="N46" s="279">
        <v>0.1</v>
      </c>
      <c r="O46" s="279">
        <v>0.33</v>
      </c>
      <c r="P46" s="86">
        <f>SUM(L46:O46)</f>
        <v>0.95</v>
      </c>
      <c r="Q46" s="84" t="s">
        <v>302</v>
      </c>
      <c r="R46" s="84" t="s">
        <v>303</v>
      </c>
      <c r="S46" s="84" t="s">
        <v>304</v>
      </c>
      <c r="T46" s="84" t="s">
        <v>62</v>
      </c>
      <c r="U46" s="84"/>
      <c r="V46" s="84"/>
      <c r="W46" s="84"/>
      <c r="X46" s="95"/>
      <c r="Y46" s="88"/>
      <c r="Z46" s="85" t="str">
        <f t="shared" si="0"/>
        <v>Ejecución presupuestal de inversión directa</v>
      </c>
      <c r="AA46" s="94">
        <f t="shared" si="9"/>
        <v>0.02</v>
      </c>
      <c r="AB46" s="92">
        <f>4445412464/48636213000</f>
        <v>9.1401287020434749E-2</v>
      </c>
      <c r="AC46" s="89">
        <v>1</v>
      </c>
      <c r="AD46" s="90" t="s">
        <v>305</v>
      </c>
      <c r="AE46" s="90" t="s">
        <v>306</v>
      </c>
      <c r="AF46" s="85" t="str">
        <f t="shared" si="1"/>
        <v>Ejecución presupuestal de inversión directa</v>
      </c>
      <c r="AG46" s="94">
        <f t="shared" si="2"/>
        <v>0.5</v>
      </c>
      <c r="AH46" s="324">
        <f>10263731986/48636213000</f>
        <v>0.21103065705382942</v>
      </c>
      <c r="AI46" s="89">
        <f>(AH46/AG46)</f>
        <v>0.42206131410765885</v>
      </c>
      <c r="AJ46" s="321" t="s">
        <v>307</v>
      </c>
      <c r="AK46" s="84" t="s">
        <v>308</v>
      </c>
      <c r="AL46" s="85" t="str">
        <f t="shared" si="3"/>
        <v>Ejecución presupuestal de inversión directa</v>
      </c>
      <c r="AM46" s="94">
        <f t="shared" si="10"/>
        <v>0.1</v>
      </c>
      <c r="AN46" s="92">
        <f>12069505988/49079779232</f>
        <v>0.2459160610920329</v>
      </c>
      <c r="AO46" s="89">
        <v>1</v>
      </c>
      <c r="AP46" s="321" t="s">
        <v>309</v>
      </c>
      <c r="AQ46" s="84" t="s">
        <v>310</v>
      </c>
      <c r="AR46" s="85" t="str">
        <f t="shared" si="4"/>
        <v>Ejecución presupuestal de inversión directa</v>
      </c>
      <c r="AS46" s="85">
        <f t="shared" si="5"/>
        <v>0.33</v>
      </c>
      <c r="AT46" s="86">
        <f>37208653084/50483756361</f>
        <v>0.73704208573402907</v>
      </c>
      <c r="AU46" s="89">
        <v>1</v>
      </c>
      <c r="AV46" s="113" t="s">
        <v>311</v>
      </c>
      <c r="AW46" s="84" t="s">
        <v>312</v>
      </c>
      <c r="AX46" s="85" t="str">
        <f t="shared" si="6"/>
        <v>Ejecución presupuestal de inversión directa</v>
      </c>
      <c r="AY46" s="94">
        <f t="shared" si="7"/>
        <v>0.95</v>
      </c>
      <c r="AZ46" s="320">
        <f>IF(J46="CONSTANTE",AVERAGE(AB46,AH46,AN46,AT46),(SUM(AB46,AH46,AN46,AT46)))</f>
        <v>1.285390090900326</v>
      </c>
      <c r="BA46" s="93">
        <v>1</v>
      </c>
      <c r="BB46" s="336">
        <f t="shared" si="11"/>
        <v>0.01</v>
      </c>
      <c r="BC46" s="114" t="s">
        <v>313</v>
      </c>
    </row>
    <row r="47" spans="1:55" ht="409.6" thickBot="1">
      <c r="A47" s="125">
        <v>27</v>
      </c>
      <c r="B47" s="436"/>
      <c r="C47" s="387"/>
      <c r="D47" s="215" t="s">
        <v>314</v>
      </c>
      <c r="E47" s="280">
        <v>0.01</v>
      </c>
      <c r="F47" s="227" t="s">
        <v>104</v>
      </c>
      <c r="G47" s="58" t="s">
        <v>315</v>
      </c>
      <c r="H47" s="58" t="s">
        <v>316</v>
      </c>
      <c r="J47" s="74" t="s">
        <v>57</v>
      </c>
      <c r="K47" s="84" t="s">
        <v>301</v>
      </c>
      <c r="L47" s="279">
        <v>0</v>
      </c>
      <c r="M47" s="279">
        <v>0</v>
      </c>
      <c r="N47" s="279">
        <v>0</v>
      </c>
      <c r="O47" s="279">
        <v>0.5</v>
      </c>
      <c r="P47" s="57">
        <f>SUM(L47:O47)</f>
        <v>0.5</v>
      </c>
      <c r="Q47" s="74" t="s">
        <v>302</v>
      </c>
      <c r="R47" s="84" t="s">
        <v>303</v>
      </c>
      <c r="S47" s="84" t="s">
        <v>304</v>
      </c>
      <c r="T47" s="74" t="s">
        <v>110</v>
      </c>
      <c r="U47" s="74"/>
      <c r="V47" s="74"/>
      <c r="W47" s="74"/>
      <c r="X47" s="95"/>
      <c r="Y47" s="116"/>
      <c r="Z47" s="85" t="str">
        <f>G47</f>
        <v>Giros realizados</v>
      </c>
      <c r="AA47" s="85">
        <f>L47</f>
        <v>0</v>
      </c>
      <c r="AB47" s="84">
        <v>0</v>
      </c>
      <c r="AC47" s="89"/>
      <c r="AD47" s="90" t="s">
        <v>317</v>
      </c>
      <c r="AE47" s="90" t="s">
        <v>63</v>
      </c>
      <c r="AF47" s="85" t="str">
        <f>G47</f>
        <v>Giros realizados</v>
      </c>
      <c r="AG47" s="91">
        <f>M47</f>
        <v>0</v>
      </c>
      <c r="AH47" s="92">
        <v>0</v>
      </c>
      <c r="AI47" s="89"/>
      <c r="AJ47" s="84" t="s">
        <v>87</v>
      </c>
      <c r="AK47" s="90" t="s">
        <v>63</v>
      </c>
      <c r="AL47" s="85" t="str">
        <f>G47</f>
        <v>Giros realizados</v>
      </c>
      <c r="AM47" s="85">
        <f>X47</f>
        <v>0</v>
      </c>
      <c r="AN47" s="84">
        <v>0</v>
      </c>
      <c r="AO47" s="89"/>
      <c r="AP47" s="90" t="s">
        <v>152</v>
      </c>
      <c r="AQ47" s="84" t="s">
        <v>63</v>
      </c>
      <c r="AR47" s="85" t="str">
        <f>G47</f>
        <v>Giros realizados</v>
      </c>
      <c r="AS47" s="85">
        <f>O47</f>
        <v>0.5</v>
      </c>
      <c r="AT47" s="86">
        <f>4644751585/50483756361</f>
        <v>9.2004872850313293E-2</v>
      </c>
      <c r="AU47" s="89">
        <f>(AT47/AS47)</f>
        <v>0.18400974570062659</v>
      </c>
      <c r="AV47" s="113" t="s">
        <v>318</v>
      </c>
      <c r="AW47" s="84" t="s">
        <v>312</v>
      </c>
      <c r="AX47" s="85" t="str">
        <f>G47</f>
        <v>Giros realizados</v>
      </c>
      <c r="AY47" s="85">
        <f>P47</f>
        <v>0.5</v>
      </c>
      <c r="AZ47" s="94">
        <f>IF(J47="CONSTANTE",AVERAGE(AB47,AH47,AN47,AT47),(SUM(AB47,AH47,AN47,AT47)))</f>
        <v>9.2004872850313293E-2</v>
      </c>
      <c r="BA47" s="93">
        <f t="shared" ref="BA47:BA54" si="13">AZ47/AY47</f>
        <v>0.18400974570062659</v>
      </c>
      <c r="BB47" s="336">
        <f t="shared" si="11"/>
        <v>1.8400974570062659E-3</v>
      </c>
      <c r="BC47" s="114" t="s">
        <v>319</v>
      </c>
    </row>
    <row r="48" spans="1:55" ht="408.75" customHeight="1" thickBot="1">
      <c r="A48" s="125">
        <v>28</v>
      </c>
      <c r="B48" s="436"/>
      <c r="C48" s="387"/>
      <c r="D48" s="215" t="s">
        <v>320</v>
      </c>
      <c r="E48" s="280">
        <v>0.01</v>
      </c>
      <c r="F48" s="227" t="s">
        <v>54</v>
      </c>
      <c r="G48" s="58" t="s">
        <v>321</v>
      </c>
      <c r="H48" s="58" t="s">
        <v>322</v>
      </c>
      <c r="J48" s="51" t="s">
        <v>57</v>
      </c>
      <c r="K48" s="84" t="s">
        <v>301</v>
      </c>
      <c r="L48" s="276">
        <v>0.09</v>
      </c>
      <c r="M48" s="276">
        <v>0.13</v>
      </c>
      <c r="N48" s="276">
        <v>0.13</v>
      </c>
      <c r="O48" s="276">
        <v>0.15</v>
      </c>
      <c r="P48" s="57">
        <f>SUM(L48:O48)</f>
        <v>0.5</v>
      </c>
      <c r="Q48" s="74" t="s">
        <v>302</v>
      </c>
      <c r="R48" s="84" t="s">
        <v>303</v>
      </c>
      <c r="S48" s="84" t="s">
        <v>304</v>
      </c>
      <c r="T48" s="51" t="s">
        <v>110</v>
      </c>
      <c r="U48" s="51"/>
      <c r="V48" s="51"/>
      <c r="W48" s="51"/>
      <c r="X48" s="95"/>
      <c r="Y48" s="55"/>
      <c r="Z48" s="85" t="str">
        <f t="shared" si="0"/>
        <v>Ejecución de obligaciones por pagar</v>
      </c>
      <c r="AA48" s="94">
        <f t="shared" si="9"/>
        <v>0.09</v>
      </c>
      <c r="AB48" s="92">
        <f>(285291274+5483753867)/(641569810+34791794727)</f>
        <v>0.16281392457032651</v>
      </c>
      <c r="AC48" s="89">
        <v>1</v>
      </c>
      <c r="AD48" s="90" t="s">
        <v>323</v>
      </c>
      <c r="AE48" s="90" t="s">
        <v>324</v>
      </c>
      <c r="AF48" s="85" t="str">
        <f t="shared" si="1"/>
        <v>Ejecución de obligaciones por pagar</v>
      </c>
      <c r="AG48" s="91">
        <f t="shared" si="2"/>
        <v>0.13</v>
      </c>
      <c r="AH48" s="92">
        <f>(445149994+8659045779)/(647570858+33707351156)</f>
        <v>0.26500411700221421</v>
      </c>
      <c r="AI48" s="89">
        <v>1</v>
      </c>
      <c r="AJ48" s="321" t="s">
        <v>325</v>
      </c>
      <c r="AK48" s="84" t="s">
        <v>308</v>
      </c>
      <c r="AL48" s="85" t="str">
        <f t="shared" si="3"/>
        <v>Ejecución de obligaciones por pagar</v>
      </c>
      <c r="AM48" s="94">
        <f t="shared" si="10"/>
        <v>0.13</v>
      </c>
      <c r="AN48" s="92">
        <f>(519512546+10211910697)/(631659037+25937347671)</f>
        <v>0.4039075815268901</v>
      </c>
      <c r="AO48" s="89">
        <v>1</v>
      </c>
      <c r="AP48" s="321" t="s">
        <v>326</v>
      </c>
      <c r="AQ48" s="84" t="s">
        <v>310</v>
      </c>
      <c r="AR48" s="85" t="str">
        <f t="shared" si="4"/>
        <v>Ejecución de obligaciones por pagar</v>
      </c>
      <c r="AS48" s="85">
        <f t="shared" si="5"/>
        <v>0.15</v>
      </c>
      <c r="AT48" s="86">
        <f>14357176197/26511734987</f>
        <v>0.54154042366672817</v>
      </c>
      <c r="AU48" s="89">
        <v>1</v>
      </c>
      <c r="AV48" s="113" t="s">
        <v>327</v>
      </c>
      <c r="AW48" s="84" t="s">
        <v>312</v>
      </c>
      <c r="AX48" s="85" t="str">
        <f t="shared" si="6"/>
        <v>Ejecución de obligaciones por pagar</v>
      </c>
      <c r="AY48" s="85">
        <f t="shared" si="7"/>
        <v>0.5</v>
      </c>
      <c r="AZ48" s="94">
        <f>IF(J48="CONSTANTE",AVERAGE(AB48,AH48,AN48,AT48),(SUM(AB48,AH48,AN48,AT48)))</f>
        <v>1.373266046766159</v>
      </c>
      <c r="BA48" s="93">
        <v>1</v>
      </c>
      <c r="BB48" s="336">
        <f t="shared" si="11"/>
        <v>0.01</v>
      </c>
      <c r="BC48" s="114" t="s">
        <v>328</v>
      </c>
    </row>
    <row r="49" spans="1:55" ht="200.25" customHeight="1" thickBot="1">
      <c r="A49" s="125">
        <v>29</v>
      </c>
      <c r="B49" s="436"/>
      <c r="C49" s="387"/>
      <c r="D49" s="215" t="s">
        <v>329</v>
      </c>
      <c r="E49" s="280">
        <v>0.02</v>
      </c>
      <c r="F49" s="227" t="s">
        <v>104</v>
      </c>
      <c r="G49" s="58" t="s">
        <v>330</v>
      </c>
      <c r="H49" s="58" t="s">
        <v>331</v>
      </c>
      <c r="J49" s="51" t="s">
        <v>107</v>
      </c>
      <c r="K49" s="51" t="s">
        <v>332</v>
      </c>
      <c r="L49" s="52">
        <v>1</v>
      </c>
      <c r="M49" s="52">
        <v>1</v>
      </c>
      <c r="N49" s="52">
        <v>1</v>
      </c>
      <c r="O49" s="52">
        <v>1</v>
      </c>
      <c r="P49" s="52">
        <v>1</v>
      </c>
      <c r="Q49" s="51" t="s">
        <v>59</v>
      </c>
      <c r="R49" s="51" t="s">
        <v>333</v>
      </c>
      <c r="S49" s="51" t="s">
        <v>334</v>
      </c>
      <c r="T49" s="51" t="s">
        <v>110</v>
      </c>
      <c r="U49" s="51"/>
      <c r="V49" s="51"/>
      <c r="W49" s="51"/>
      <c r="X49" s="95"/>
      <c r="Y49" s="55"/>
      <c r="Z49" s="85" t="str">
        <f t="shared" si="0"/>
        <v>Procesos Contractuales de malla vial y parques con pliegos tipo</v>
      </c>
      <c r="AA49" s="85">
        <f t="shared" si="9"/>
        <v>1</v>
      </c>
      <c r="AB49" s="84">
        <f>0</f>
        <v>0</v>
      </c>
      <c r="AC49" s="89">
        <f>(AB49/AA49)</f>
        <v>0</v>
      </c>
      <c r="AD49" s="90" t="s">
        <v>335</v>
      </c>
      <c r="AE49" s="84" t="s">
        <v>336</v>
      </c>
      <c r="AF49" s="85" t="str">
        <f t="shared" si="1"/>
        <v>Procesos Contractuales de malla vial y parques con pliegos tipo</v>
      </c>
      <c r="AG49" s="91">
        <f t="shared" si="2"/>
        <v>1</v>
      </c>
      <c r="AH49" s="84">
        <f>0</f>
        <v>0</v>
      </c>
      <c r="AI49" s="89">
        <f>(AH49/AG49)</f>
        <v>0</v>
      </c>
      <c r="AJ49" s="90" t="s">
        <v>337</v>
      </c>
      <c r="AK49" s="84" t="s">
        <v>336</v>
      </c>
      <c r="AL49" s="85" t="str">
        <f t="shared" si="3"/>
        <v>Procesos Contractuales de malla vial y parques con pliegos tipo</v>
      </c>
      <c r="AM49" s="94">
        <f t="shared" si="10"/>
        <v>1</v>
      </c>
      <c r="AN49" s="92">
        <f>1/1</f>
        <v>1</v>
      </c>
      <c r="AO49" s="89">
        <f>(AN49/AM49)</f>
        <v>1</v>
      </c>
      <c r="AP49" s="321" t="s">
        <v>338</v>
      </c>
      <c r="AQ49" s="84" t="s">
        <v>339</v>
      </c>
      <c r="AR49" s="85" t="str">
        <f t="shared" si="4"/>
        <v>Procesos Contractuales de malla vial y parques con pliegos tipo</v>
      </c>
      <c r="AS49" s="94">
        <f t="shared" si="5"/>
        <v>1</v>
      </c>
      <c r="AT49" s="92">
        <f>3/3</f>
        <v>1</v>
      </c>
      <c r="AU49" s="89">
        <f>(AT49/AS49)</f>
        <v>1</v>
      </c>
      <c r="AV49" s="113" t="s">
        <v>340</v>
      </c>
      <c r="AW49" s="84" t="s">
        <v>339</v>
      </c>
      <c r="AX49" s="85" t="str">
        <f t="shared" si="6"/>
        <v>Procesos Contractuales de malla vial y parques con pliegos tipo</v>
      </c>
      <c r="AY49" s="85">
        <f t="shared" si="7"/>
        <v>1</v>
      </c>
      <c r="AZ49" s="85">
        <v>4</v>
      </c>
      <c r="BA49" s="93">
        <v>1</v>
      </c>
      <c r="BB49" s="336">
        <f t="shared" si="11"/>
        <v>0.02</v>
      </c>
      <c r="BC49" s="114" t="s">
        <v>341</v>
      </c>
    </row>
    <row r="50" spans="1:55" ht="225.75" thickBot="1">
      <c r="A50" s="125">
        <v>30</v>
      </c>
      <c r="B50" s="436"/>
      <c r="C50" s="387"/>
      <c r="D50" s="266" t="s">
        <v>342</v>
      </c>
      <c r="E50" s="267">
        <v>0.01</v>
      </c>
      <c r="F50" s="227" t="s">
        <v>104</v>
      </c>
      <c r="G50" s="58" t="s">
        <v>343</v>
      </c>
      <c r="H50" s="58" t="s">
        <v>344</v>
      </c>
      <c r="I50" s="51"/>
      <c r="J50" s="51" t="s">
        <v>107</v>
      </c>
      <c r="K50" s="51" t="s">
        <v>345</v>
      </c>
      <c r="L50" s="52">
        <v>1</v>
      </c>
      <c r="M50" s="52">
        <v>1</v>
      </c>
      <c r="N50" s="52">
        <v>1</v>
      </c>
      <c r="O50" s="52">
        <v>1</v>
      </c>
      <c r="P50" s="52">
        <v>1</v>
      </c>
      <c r="Q50" s="51" t="s">
        <v>59</v>
      </c>
      <c r="R50" s="51" t="s">
        <v>346</v>
      </c>
      <c r="S50" s="51" t="s">
        <v>347</v>
      </c>
      <c r="T50" s="51" t="s">
        <v>110</v>
      </c>
      <c r="U50" s="51"/>
      <c r="V50" s="51"/>
      <c r="W50" s="51"/>
      <c r="X50" s="95"/>
      <c r="Y50" s="55"/>
      <c r="Z50" s="85" t="str">
        <f t="shared" si="0"/>
        <v>Procesos contractuales publicados y actualizados en SECOP I, II y TVEC</v>
      </c>
      <c r="AA50" s="85">
        <f t="shared" si="9"/>
        <v>1</v>
      </c>
      <c r="AB50" s="92">
        <f>62/87</f>
        <v>0.71264367816091956</v>
      </c>
      <c r="AC50" s="89">
        <f>(AB50/AA50)</f>
        <v>0.71264367816091956</v>
      </c>
      <c r="AD50" s="90" t="s">
        <v>348</v>
      </c>
      <c r="AE50" s="84" t="s">
        <v>336</v>
      </c>
      <c r="AF50" s="85" t="str">
        <f t="shared" si="1"/>
        <v>Procesos contractuales publicados y actualizados en SECOP I, II y TVEC</v>
      </c>
      <c r="AG50" s="91">
        <f t="shared" si="2"/>
        <v>1</v>
      </c>
      <c r="AH50" s="92">
        <f>SUM(113+10+8+1)/(SUM(113+10+8+1))</f>
        <v>1</v>
      </c>
      <c r="AI50" s="89">
        <f>(AH50/AG50)</f>
        <v>1</v>
      </c>
      <c r="AJ50" s="321" t="s">
        <v>349</v>
      </c>
      <c r="AK50" s="84" t="s">
        <v>336</v>
      </c>
      <c r="AL50" s="85" t="str">
        <f t="shared" si="3"/>
        <v>Procesos contractuales publicados y actualizados en SECOP I, II y TVEC</v>
      </c>
      <c r="AM50" s="85">
        <f t="shared" si="10"/>
        <v>1</v>
      </c>
      <c r="AN50" s="84">
        <f>47/47</f>
        <v>1</v>
      </c>
      <c r="AO50" s="89">
        <f>(AN50/AM50)</f>
        <v>1</v>
      </c>
      <c r="AP50" s="321" t="s">
        <v>350</v>
      </c>
      <c r="AQ50" s="84" t="s">
        <v>336</v>
      </c>
      <c r="AR50" s="85" t="str">
        <f t="shared" si="4"/>
        <v>Procesos contractuales publicados y actualizados en SECOP I, II y TVEC</v>
      </c>
      <c r="AS50" s="85">
        <f t="shared" si="5"/>
        <v>1</v>
      </c>
      <c r="AT50" s="86">
        <f>40/40</f>
        <v>1</v>
      </c>
      <c r="AU50" s="89">
        <f>(AT50/AS50)</f>
        <v>1</v>
      </c>
      <c r="AV50" s="113" t="s">
        <v>351</v>
      </c>
      <c r="AW50" s="84" t="s">
        <v>336</v>
      </c>
      <c r="AX50" s="85" t="str">
        <f t="shared" si="6"/>
        <v>Procesos contractuales publicados y actualizados en SECOP I, II y TVEC</v>
      </c>
      <c r="AY50" s="85">
        <f t="shared" si="7"/>
        <v>1</v>
      </c>
      <c r="AZ50" s="94">
        <f t="shared" si="8"/>
        <v>0.92816091954022983</v>
      </c>
      <c r="BA50" s="93">
        <f t="shared" si="13"/>
        <v>0.92816091954022983</v>
      </c>
      <c r="BB50" s="336">
        <f t="shared" si="11"/>
        <v>9.2816091954022982E-3</v>
      </c>
      <c r="BC50" s="114" t="s">
        <v>352</v>
      </c>
    </row>
    <row r="51" spans="1:55" ht="409.6" thickBot="1">
      <c r="A51" s="125">
        <v>31</v>
      </c>
      <c r="B51" s="436"/>
      <c r="C51" s="387"/>
      <c r="D51" s="216" t="s">
        <v>353</v>
      </c>
      <c r="E51" s="281">
        <v>0.02</v>
      </c>
      <c r="F51" s="228" t="s">
        <v>54</v>
      </c>
      <c r="G51" s="148" t="s">
        <v>354</v>
      </c>
      <c r="H51" s="117" t="s">
        <v>355</v>
      </c>
      <c r="I51" s="51"/>
      <c r="J51" s="51" t="s">
        <v>107</v>
      </c>
      <c r="K51" s="51" t="s">
        <v>356</v>
      </c>
      <c r="L51" s="52">
        <v>1</v>
      </c>
      <c r="M51" s="52">
        <v>1</v>
      </c>
      <c r="N51" s="52">
        <v>1</v>
      </c>
      <c r="O51" s="52">
        <v>1</v>
      </c>
      <c r="P51" s="52">
        <v>1</v>
      </c>
      <c r="Q51" s="51" t="s">
        <v>59</v>
      </c>
      <c r="R51" s="51" t="s">
        <v>357</v>
      </c>
      <c r="S51" s="51" t="s">
        <v>358</v>
      </c>
      <c r="T51" s="51" t="s">
        <v>62</v>
      </c>
      <c r="U51" s="51"/>
      <c r="V51" s="51"/>
      <c r="W51" s="51"/>
      <c r="X51" s="95"/>
      <c r="Y51" s="55"/>
      <c r="Z51" s="85" t="str">
        <f t="shared" si="0"/>
        <v>Porcentaje de cumplimiento de las actividades dispuestas en el plan de acción NIC-SP</v>
      </c>
      <c r="AA51" s="85">
        <f t="shared" si="9"/>
        <v>1</v>
      </c>
      <c r="AB51" s="84">
        <f>1/1</f>
        <v>1</v>
      </c>
      <c r="AC51" s="89">
        <f>(AB51/AA51)</f>
        <v>1</v>
      </c>
      <c r="AD51" s="90" t="s">
        <v>359</v>
      </c>
      <c r="AE51" s="90" t="s">
        <v>360</v>
      </c>
      <c r="AF51" s="85" t="str">
        <f t="shared" si="1"/>
        <v>Porcentaje de cumplimiento de las actividades dispuestas en el plan de acción NIC-SP</v>
      </c>
      <c r="AG51" s="91">
        <f t="shared" si="2"/>
        <v>1</v>
      </c>
      <c r="AH51" s="84">
        <f>1/1</f>
        <v>1</v>
      </c>
      <c r="AI51" s="89">
        <f>(AH51/AG51)</f>
        <v>1</v>
      </c>
      <c r="AJ51" s="321" t="s">
        <v>361</v>
      </c>
      <c r="AK51" s="321" t="s">
        <v>362</v>
      </c>
      <c r="AL51" s="85" t="str">
        <f t="shared" si="3"/>
        <v>Porcentaje de cumplimiento de las actividades dispuestas en el plan de acción NIC-SP</v>
      </c>
      <c r="AM51" s="85">
        <f t="shared" si="10"/>
        <v>1</v>
      </c>
      <c r="AN51" s="92">
        <f>1/1</f>
        <v>1</v>
      </c>
      <c r="AO51" s="89">
        <f>(AN51/AM51)</f>
        <v>1</v>
      </c>
      <c r="AP51" s="321" t="s">
        <v>363</v>
      </c>
      <c r="AQ51" s="84" t="s">
        <v>364</v>
      </c>
      <c r="AR51" s="85" t="str">
        <f t="shared" si="4"/>
        <v>Porcentaje de cumplimiento de las actividades dispuestas en el plan de acción NIC-SP</v>
      </c>
      <c r="AS51" s="85">
        <f t="shared" si="5"/>
        <v>1</v>
      </c>
      <c r="AT51" s="86">
        <v>0</v>
      </c>
      <c r="AU51" s="89">
        <f>(AT51/AS51)</f>
        <v>0</v>
      </c>
      <c r="AV51" s="113"/>
      <c r="AW51" s="84"/>
      <c r="AX51" s="85" t="str">
        <f t="shared" si="6"/>
        <v>Porcentaje de cumplimiento de las actividades dispuestas en el plan de acción NIC-SP</v>
      </c>
      <c r="AY51" s="85">
        <f t="shared" si="7"/>
        <v>1</v>
      </c>
      <c r="AZ51" s="94">
        <f t="shared" si="8"/>
        <v>0.75</v>
      </c>
      <c r="BA51" s="93">
        <f t="shared" si="13"/>
        <v>0.75</v>
      </c>
      <c r="BB51" s="336">
        <f t="shared" si="11"/>
        <v>1.4999999999999999E-2</v>
      </c>
      <c r="BC51" s="114" t="s">
        <v>365</v>
      </c>
    </row>
    <row r="52" spans="1:55" ht="255.75" thickBot="1">
      <c r="A52" s="125">
        <v>32</v>
      </c>
      <c r="B52" s="436"/>
      <c r="C52" s="387"/>
      <c r="D52" s="217" t="s">
        <v>366</v>
      </c>
      <c r="E52" s="282">
        <v>0.01</v>
      </c>
      <c r="F52" s="228" t="s">
        <v>54</v>
      </c>
      <c r="G52" s="148" t="s">
        <v>367</v>
      </c>
      <c r="H52" s="148" t="s">
        <v>368</v>
      </c>
      <c r="I52" s="138"/>
      <c r="J52" s="51" t="s">
        <v>57</v>
      </c>
      <c r="K52" s="138" t="s">
        <v>369</v>
      </c>
      <c r="L52" s="140">
        <v>0</v>
      </c>
      <c r="M52" s="140">
        <v>0.2</v>
      </c>
      <c r="N52" s="140">
        <v>0.3</v>
      </c>
      <c r="O52" s="140">
        <v>0.3</v>
      </c>
      <c r="P52" s="140">
        <f>SUM(L52:O52)</f>
        <v>0.8</v>
      </c>
      <c r="Q52" s="138" t="s">
        <v>59</v>
      </c>
      <c r="R52" s="138" t="s">
        <v>370</v>
      </c>
      <c r="S52" s="138" t="s">
        <v>371</v>
      </c>
      <c r="T52" s="138" t="s">
        <v>62</v>
      </c>
      <c r="U52" s="138"/>
      <c r="V52" s="138"/>
      <c r="W52" s="138"/>
      <c r="X52" s="154"/>
      <c r="Y52" s="141"/>
      <c r="Z52" s="85" t="str">
        <f t="shared" ref="Z52:Z57" si="14">G52</f>
        <v>Bienes con CTUCU adquiridos a través de Colombia Compra Eficiente</v>
      </c>
      <c r="AA52" s="85">
        <f t="shared" ref="AA52:AA57" si="15">L52</f>
        <v>0</v>
      </c>
      <c r="AB52" s="84">
        <v>0</v>
      </c>
      <c r="AC52" s="89"/>
      <c r="AD52" s="90" t="s">
        <v>76</v>
      </c>
      <c r="AE52" s="84" t="s">
        <v>63</v>
      </c>
      <c r="AF52" s="85" t="str">
        <f>G52</f>
        <v>Bienes con CTUCU adquiridos a través de Colombia Compra Eficiente</v>
      </c>
      <c r="AG52" s="91">
        <f>M52</f>
        <v>0.2</v>
      </c>
      <c r="AH52" s="92">
        <v>0</v>
      </c>
      <c r="AI52" s="89">
        <v>0</v>
      </c>
      <c r="AJ52" s="321" t="s">
        <v>372</v>
      </c>
      <c r="AK52" s="84" t="s">
        <v>373</v>
      </c>
      <c r="AL52" s="85" t="str">
        <f>G52</f>
        <v>Bienes con CTUCU adquiridos a través de Colombia Compra Eficiente</v>
      </c>
      <c r="AM52" s="85">
        <f>N52</f>
        <v>0.3</v>
      </c>
      <c r="AN52" s="84">
        <v>0</v>
      </c>
      <c r="AO52" s="89">
        <f>(AN52/AM52)</f>
        <v>0</v>
      </c>
      <c r="AP52" s="84" t="s">
        <v>374</v>
      </c>
      <c r="AQ52" s="84" t="s">
        <v>373</v>
      </c>
      <c r="AR52" s="85" t="str">
        <f>G52</f>
        <v>Bienes con CTUCU adquiridos a través de Colombia Compra Eficiente</v>
      </c>
      <c r="AS52" s="86">
        <f>O52</f>
        <v>0.3</v>
      </c>
      <c r="AT52" s="86">
        <f>652802720/652802720</f>
        <v>1</v>
      </c>
      <c r="AU52" s="89">
        <v>1</v>
      </c>
      <c r="AV52" s="113" t="s">
        <v>375</v>
      </c>
      <c r="AW52" s="84" t="s">
        <v>376</v>
      </c>
      <c r="AX52" s="85" t="str">
        <f>G52</f>
        <v>Bienes con CTUCU adquiridos a través de Colombia Compra Eficiente</v>
      </c>
      <c r="AY52" s="85">
        <f>P52</f>
        <v>0.8</v>
      </c>
      <c r="AZ52" s="94">
        <f>IF(J52="CONSTANTE",AVERAGE(AB52,AH52,AN52,AT52),(SUM(AB52,AH52,AN52,AT52)))</f>
        <v>1</v>
      </c>
      <c r="BA52" s="93">
        <v>1</v>
      </c>
      <c r="BB52" s="336">
        <f t="shared" si="11"/>
        <v>0.01</v>
      </c>
      <c r="BC52" s="114" t="s">
        <v>377</v>
      </c>
    </row>
    <row r="53" spans="1:55" ht="129" customHeight="1" thickBot="1">
      <c r="A53" s="125">
        <v>34</v>
      </c>
      <c r="B53" s="436"/>
      <c r="C53" s="387"/>
      <c r="D53" s="216" t="s">
        <v>378</v>
      </c>
      <c r="E53" s="281">
        <v>0.01</v>
      </c>
      <c r="F53" s="228" t="s">
        <v>54</v>
      </c>
      <c r="G53" s="148" t="s">
        <v>379</v>
      </c>
      <c r="H53" s="180" t="s">
        <v>380</v>
      </c>
      <c r="I53" s="138"/>
      <c r="J53" s="138" t="s">
        <v>57</v>
      </c>
      <c r="K53" s="51" t="s">
        <v>381</v>
      </c>
      <c r="L53" s="51">
        <v>0</v>
      </c>
      <c r="M53" s="51">
        <v>0</v>
      </c>
      <c r="N53" s="51">
        <v>0</v>
      </c>
      <c r="O53" s="51">
        <v>1</v>
      </c>
      <c r="P53" s="138">
        <v>1</v>
      </c>
      <c r="Q53" s="138" t="s">
        <v>59</v>
      </c>
      <c r="R53" s="138" t="s">
        <v>382</v>
      </c>
      <c r="S53" s="138" t="s">
        <v>383</v>
      </c>
      <c r="T53" s="138" t="s">
        <v>62</v>
      </c>
      <c r="U53" s="138"/>
      <c r="V53" s="138"/>
      <c r="W53" s="138"/>
      <c r="X53" s="154"/>
      <c r="Y53" s="141"/>
      <c r="Z53" s="85" t="str">
        <f t="shared" si="14"/>
        <v>Linea Base de consumo de combustible y costos de mantenimiento establecida</v>
      </c>
      <c r="AA53" s="85">
        <f t="shared" si="15"/>
        <v>0</v>
      </c>
      <c r="AB53" s="84">
        <v>0</v>
      </c>
      <c r="AC53" s="89"/>
      <c r="AD53" s="90" t="s">
        <v>76</v>
      </c>
      <c r="AE53" s="84" t="s">
        <v>63</v>
      </c>
      <c r="AF53" s="85" t="str">
        <f>G53</f>
        <v>Linea Base de consumo de combustible y costos de mantenimiento establecida</v>
      </c>
      <c r="AG53" s="85">
        <v>0</v>
      </c>
      <c r="AH53" s="84">
        <v>0</v>
      </c>
      <c r="AI53" s="89"/>
      <c r="AJ53" s="90" t="s">
        <v>384</v>
      </c>
      <c r="AK53" s="84" t="s">
        <v>63</v>
      </c>
      <c r="AL53" s="85" t="str">
        <f>G53</f>
        <v>Linea Base de consumo de combustible y costos de mantenimiento establecida</v>
      </c>
      <c r="AM53" s="85">
        <f>N53</f>
        <v>0</v>
      </c>
      <c r="AN53" s="86">
        <v>0</v>
      </c>
      <c r="AO53" s="89"/>
      <c r="AP53" s="90" t="s">
        <v>384</v>
      </c>
      <c r="AQ53" s="84" t="s">
        <v>63</v>
      </c>
      <c r="AR53" s="85" t="str">
        <f>G53</f>
        <v>Linea Base de consumo de combustible y costos de mantenimiento establecida</v>
      </c>
      <c r="AS53" s="85">
        <f>O53</f>
        <v>1</v>
      </c>
      <c r="AT53" s="85">
        <v>1</v>
      </c>
      <c r="AU53" s="89">
        <f>(AT53/AS53)</f>
        <v>1</v>
      </c>
      <c r="AV53" s="113" t="s">
        <v>385</v>
      </c>
      <c r="AW53" s="84" t="s">
        <v>386</v>
      </c>
      <c r="AX53" s="85" t="str">
        <f>G53</f>
        <v>Linea Base de consumo de combustible y costos de mantenimiento establecida</v>
      </c>
      <c r="AY53" s="85">
        <f>P53</f>
        <v>1</v>
      </c>
      <c r="AZ53" s="94">
        <f>IF(J53="CONSTANTE",AVERAGE(AB53,AH53,AN53,AT53),(SUM(AB53,AH53,AN53,AT53)))</f>
        <v>1</v>
      </c>
      <c r="BA53" s="93">
        <f t="shared" si="13"/>
        <v>1</v>
      </c>
      <c r="BB53" s="336">
        <f t="shared" si="11"/>
        <v>0.01</v>
      </c>
      <c r="BC53" s="114" t="s">
        <v>387</v>
      </c>
    </row>
    <row r="54" spans="1:55" ht="409.6" thickBot="1">
      <c r="A54" s="125">
        <v>35</v>
      </c>
      <c r="B54" s="436"/>
      <c r="C54" s="387"/>
      <c r="D54" s="216" t="s">
        <v>388</v>
      </c>
      <c r="E54" s="281">
        <v>0.01</v>
      </c>
      <c r="F54" s="228" t="s">
        <v>54</v>
      </c>
      <c r="G54" s="148" t="s">
        <v>389</v>
      </c>
      <c r="H54" s="181" t="s">
        <v>390</v>
      </c>
      <c r="I54" s="138"/>
      <c r="J54" s="138" t="s">
        <v>107</v>
      </c>
      <c r="K54" s="138" t="s">
        <v>391</v>
      </c>
      <c r="L54" s="140">
        <v>1</v>
      </c>
      <c r="M54" s="140">
        <v>1</v>
      </c>
      <c r="N54" s="140">
        <v>1</v>
      </c>
      <c r="O54" s="140">
        <v>1</v>
      </c>
      <c r="P54" s="140">
        <v>1</v>
      </c>
      <c r="Q54" s="138" t="s">
        <v>59</v>
      </c>
      <c r="R54" s="138" t="s">
        <v>392</v>
      </c>
      <c r="S54" s="138" t="s">
        <v>393</v>
      </c>
      <c r="T54" s="138" t="s">
        <v>62</v>
      </c>
      <c r="U54" s="138"/>
      <c r="V54" s="138"/>
      <c r="W54" s="138"/>
      <c r="X54" s="154"/>
      <c r="Y54" s="141"/>
      <c r="Z54" s="85" t="str">
        <f t="shared" si="14"/>
        <v>Porcentaje de aplicación de los lineamientos establecidos en la Directiva 12 de 2016</v>
      </c>
      <c r="AA54" s="85">
        <f t="shared" si="15"/>
        <v>1</v>
      </c>
      <c r="AB54" s="84">
        <v>0</v>
      </c>
      <c r="AC54" s="89"/>
      <c r="AD54" s="90" t="s">
        <v>76</v>
      </c>
      <c r="AE54" s="84" t="s">
        <v>63</v>
      </c>
      <c r="AF54" s="85" t="str">
        <f>G54</f>
        <v>Porcentaje de aplicación de los lineamientos establecidos en la Directiva 12 de 2016</v>
      </c>
      <c r="AG54" s="91">
        <f>M54</f>
        <v>1</v>
      </c>
      <c r="AH54" s="92">
        <f>58/58</f>
        <v>1</v>
      </c>
      <c r="AI54" s="89">
        <f>(AH54/AG54)</f>
        <v>1</v>
      </c>
      <c r="AJ54" s="321" t="s">
        <v>394</v>
      </c>
      <c r="AK54" s="84" t="s">
        <v>395</v>
      </c>
      <c r="AL54" s="85" t="str">
        <f>G54</f>
        <v>Porcentaje de aplicación de los lineamientos establecidos en la Directiva 12 de 2016</v>
      </c>
      <c r="AM54" s="85">
        <f>N54</f>
        <v>1</v>
      </c>
      <c r="AN54" s="84">
        <f>26/26</f>
        <v>1</v>
      </c>
      <c r="AO54" s="89">
        <f>(AN54/AM54)</f>
        <v>1</v>
      </c>
      <c r="AP54" s="321" t="s">
        <v>396</v>
      </c>
      <c r="AQ54" s="84" t="s">
        <v>397</v>
      </c>
      <c r="AR54" s="85" t="str">
        <f>G54</f>
        <v>Porcentaje de aplicación de los lineamientos establecidos en la Directiva 12 de 2016</v>
      </c>
      <c r="AS54" s="85">
        <f>O54</f>
        <v>1</v>
      </c>
      <c r="AT54" s="86">
        <v>0</v>
      </c>
      <c r="AU54" s="89">
        <f>(AT54/AS54)</f>
        <v>0</v>
      </c>
      <c r="AV54" s="113"/>
      <c r="AW54" s="84"/>
      <c r="AX54" s="85" t="str">
        <f>G54</f>
        <v>Porcentaje de aplicación de los lineamientos establecidos en la Directiva 12 de 2016</v>
      </c>
      <c r="AY54" s="85">
        <f>P54</f>
        <v>1</v>
      </c>
      <c r="AZ54" s="94">
        <f>IF(J54="CONSTANTE",AVERAGE(AB54,AH54,AN54,AT54),(SUM(AB54,AH54,AN54,AT54)))</f>
        <v>0.5</v>
      </c>
      <c r="BA54" s="93">
        <f t="shared" si="13"/>
        <v>0.5</v>
      </c>
      <c r="BB54" s="336">
        <f t="shared" si="11"/>
        <v>5.0000000000000001E-3</v>
      </c>
      <c r="BC54" s="114" t="s">
        <v>398</v>
      </c>
    </row>
    <row r="55" spans="1:55" ht="93.75" customHeight="1" thickBot="1">
      <c r="A55" s="196"/>
      <c r="B55" s="436"/>
      <c r="C55" s="387"/>
      <c r="D55" s="218" t="s">
        <v>90</v>
      </c>
      <c r="E55" s="167">
        <f>SUM(E46:E54)</f>
        <v>0.10999999999999999</v>
      </c>
      <c r="F55" s="234"/>
      <c r="G55" s="160"/>
      <c r="H55" s="160"/>
      <c r="I55" s="161"/>
      <c r="J55" s="162"/>
      <c r="K55" s="162"/>
      <c r="L55" s="163"/>
      <c r="M55" s="163"/>
      <c r="N55" s="163"/>
      <c r="O55" s="163"/>
      <c r="P55" s="162"/>
      <c r="Q55" s="162"/>
      <c r="R55" s="162"/>
      <c r="S55" s="162"/>
      <c r="T55" s="162"/>
      <c r="U55" s="162"/>
      <c r="V55" s="162"/>
      <c r="W55" s="162"/>
      <c r="X55" s="164"/>
      <c r="Y55" s="165"/>
      <c r="Z55" s="85">
        <f t="shared" si="14"/>
        <v>0</v>
      </c>
      <c r="AA55" s="85">
        <f t="shared" si="15"/>
        <v>0</v>
      </c>
      <c r="AB55" s="84">
        <f>72/72</f>
        <v>1</v>
      </c>
      <c r="AC55" s="89">
        <v>1</v>
      </c>
      <c r="AD55" s="90" t="s">
        <v>399</v>
      </c>
      <c r="AE55" s="90" t="s">
        <v>400</v>
      </c>
      <c r="AF55" s="182"/>
      <c r="AG55" s="185"/>
      <c r="AH55" s="186"/>
      <c r="AI55" s="183"/>
      <c r="AJ55" s="128"/>
      <c r="AK55" s="128"/>
      <c r="AL55" s="182"/>
      <c r="AM55" s="182"/>
      <c r="AN55" s="128"/>
      <c r="AO55" s="183"/>
      <c r="AP55" s="128"/>
      <c r="AQ55" s="128"/>
      <c r="AR55" s="182"/>
      <c r="AS55" s="182"/>
      <c r="AT55" s="157"/>
      <c r="AU55" s="183"/>
      <c r="AV55" s="187"/>
      <c r="AW55" s="128"/>
      <c r="AX55" s="182"/>
      <c r="AY55" s="182"/>
      <c r="AZ55" s="188"/>
      <c r="BA55" s="93"/>
      <c r="BB55" s="343">
        <f>SUM(BB46:BB54)</f>
        <v>9.1121706652408568E-2</v>
      </c>
      <c r="BC55" s="190"/>
    </row>
    <row r="56" spans="1:55" ht="93.75" customHeight="1" thickBot="1">
      <c r="A56" s="124">
        <v>36</v>
      </c>
      <c r="B56" s="437"/>
      <c r="C56" s="386" t="s">
        <v>401</v>
      </c>
      <c r="D56" s="219" t="s">
        <v>402</v>
      </c>
      <c r="E56" s="243">
        <v>0.04</v>
      </c>
      <c r="F56" s="137" t="s">
        <v>104</v>
      </c>
      <c r="G56" s="192" t="s">
        <v>403</v>
      </c>
      <c r="H56" s="192" t="s">
        <v>404</v>
      </c>
      <c r="I56" s="168">
        <v>0</v>
      </c>
      <c r="J56" s="168" t="s">
        <v>57</v>
      </c>
      <c r="K56" s="133" t="s">
        <v>405</v>
      </c>
      <c r="L56" s="74">
        <v>1</v>
      </c>
      <c r="M56" s="74">
        <v>0</v>
      </c>
      <c r="N56" s="74">
        <v>0</v>
      </c>
      <c r="O56" s="74">
        <v>0</v>
      </c>
      <c r="P56" s="133">
        <v>1</v>
      </c>
      <c r="Q56" s="168" t="s">
        <v>59</v>
      </c>
      <c r="R56" s="133" t="s">
        <v>406</v>
      </c>
      <c r="S56" s="133" t="s">
        <v>407</v>
      </c>
      <c r="T56" s="168" t="s">
        <v>110</v>
      </c>
      <c r="U56" s="168"/>
      <c r="V56" s="168"/>
      <c r="W56" s="168"/>
      <c r="X56" s="193"/>
      <c r="Y56" s="169"/>
      <c r="Z56" s="182" t="str">
        <f t="shared" si="14"/>
        <v>Puntos de aplicación de la encuesta de percepción del servicio, implamentados</v>
      </c>
      <c r="AA56" s="182">
        <f t="shared" si="15"/>
        <v>1</v>
      </c>
      <c r="AB56" s="128">
        <v>1</v>
      </c>
      <c r="AC56" s="183">
        <f>AA56/AB56</f>
        <v>1</v>
      </c>
      <c r="AD56" s="184" t="s">
        <v>408</v>
      </c>
      <c r="AE56" s="184" t="s">
        <v>400</v>
      </c>
      <c r="AF56" s="170" t="str">
        <f>G56</f>
        <v>Puntos de aplicación de la encuesta de percepción del servicio, implamentados</v>
      </c>
      <c r="AG56" s="174">
        <f>M56</f>
        <v>0</v>
      </c>
      <c r="AH56" s="175">
        <v>0</v>
      </c>
      <c r="AI56" s="172"/>
      <c r="AJ56" s="90" t="s">
        <v>384</v>
      </c>
      <c r="AK56" s="171" t="s">
        <v>63</v>
      </c>
      <c r="AL56" s="170" t="str">
        <f>G56</f>
        <v>Puntos de aplicación de la encuesta de percepción del servicio, implamentados</v>
      </c>
      <c r="AM56" s="174" t="str">
        <f>S56</f>
        <v>Coordinador del área del Desarrollo Local</v>
      </c>
      <c r="AN56" s="175">
        <f>N56</f>
        <v>0</v>
      </c>
      <c r="AO56" s="172"/>
      <c r="AP56" s="90" t="s">
        <v>409</v>
      </c>
      <c r="AQ56" s="171" t="s">
        <v>63</v>
      </c>
      <c r="AR56" s="170" t="str">
        <f>G56</f>
        <v>Puntos de aplicación de la encuesta de percepción del servicio, implamentados</v>
      </c>
      <c r="AS56" s="170">
        <f>O56</f>
        <v>0</v>
      </c>
      <c r="AT56" s="170">
        <v>0</v>
      </c>
      <c r="AU56" s="172"/>
      <c r="AV56" s="90" t="s">
        <v>153</v>
      </c>
      <c r="AW56" s="171"/>
      <c r="AX56" s="170" t="str">
        <f>G56</f>
        <v>Puntos de aplicación de la encuesta de percepción del servicio, implamentados</v>
      </c>
      <c r="AY56" s="170">
        <f>P56</f>
        <v>1</v>
      </c>
      <c r="AZ56" s="178">
        <f>IF(J56="CONSTANTE",AVERAGE(AB56,AH56,AN56,AT56),(SUM(AB56,AH56,AN56,AT56)))</f>
        <v>1</v>
      </c>
      <c r="BA56" s="93">
        <f>AZ56/AY56</f>
        <v>1</v>
      </c>
      <c r="BB56" s="336">
        <f t="shared" si="11"/>
        <v>0.04</v>
      </c>
      <c r="BC56" s="179" t="s">
        <v>410</v>
      </c>
    </row>
    <row r="57" spans="1:55" ht="93.75" customHeight="1" thickBot="1">
      <c r="A57" s="196"/>
      <c r="B57" s="437"/>
      <c r="C57" s="388"/>
      <c r="D57" s="220" t="s">
        <v>90</v>
      </c>
      <c r="E57" s="167">
        <v>0.04</v>
      </c>
      <c r="F57" s="161"/>
      <c r="G57" s="194"/>
      <c r="H57" s="195"/>
      <c r="I57" s="162"/>
      <c r="J57" s="162"/>
      <c r="K57" s="162"/>
      <c r="L57" s="163"/>
      <c r="M57" s="163"/>
      <c r="N57" s="163"/>
      <c r="O57" s="163"/>
      <c r="P57" s="162"/>
      <c r="Q57" s="162"/>
      <c r="R57" s="162"/>
      <c r="S57" s="162"/>
      <c r="T57" s="162"/>
      <c r="U57" s="162"/>
      <c r="V57" s="162"/>
      <c r="W57" s="162"/>
      <c r="X57" s="164"/>
      <c r="Y57" s="165"/>
      <c r="Z57" s="170">
        <f t="shared" si="14"/>
        <v>0</v>
      </c>
      <c r="AA57" s="170">
        <f t="shared" si="15"/>
        <v>0</v>
      </c>
      <c r="AB57" s="171">
        <v>1</v>
      </c>
      <c r="AC57" s="172">
        <v>1</v>
      </c>
      <c r="AD57" s="173" t="s">
        <v>408</v>
      </c>
      <c r="AE57" s="173" t="s">
        <v>400</v>
      </c>
      <c r="AF57" s="182"/>
      <c r="AG57" s="185"/>
      <c r="AH57" s="186"/>
      <c r="AI57" s="183"/>
      <c r="AJ57" s="128"/>
      <c r="AK57" s="128"/>
      <c r="AL57" s="182"/>
      <c r="AM57" s="182"/>
      <c r="AN57" s="128"/>
      <c r="AO57" s="183"/>
      <c r="AP57" s="128"/>
      <c r="AQ57" s="128"/>
      <c r="AR57" s="182"/>
      <c r="AS57" s="182"/>
      <c r="AT57" s="157"/>
      <c r="AU57" s="183"/>
      <c r="AV57" s="187"/>
      <c r="AW57" s="128"/>
      <c r="AX57" s="182"/>
      <c r="AY57" s="182"/>
      <c r="AZ57" s="188"/>
      <c r="BA57" s="189"/>
      <c r="BB57" s="336">
        <f>SUM(BB56)</f>
        <v>0.04</v>
      </c>
      <c r="BC57" s="190"/>
    </row>
    <row r="58" spans="1:55" ht="225.75" thickBot="1">
      <c r="A58" s="124">
        <v>37</v>
      </c>
      <c r="B58" s="436"/>
      <c r="C58" s="421" t="s">
        <v>411</v>
      </c>
      <c r="D58" s="253" t="s">
        <v>412</v>
      </c>
      <c r="E58" s="283">
        <v>0.02</v>
      </c>
      <c r="F58" s="235" t="s">
        <v>54</v>
      </c>
      <c r="G58" s="255" t="s">
        <v>413</v>
      </c>
      <c r="H58" s="171" t="s">
        <v>414</v>
      </c>
      <c r="I58" s="171"/>
      <c r="J58" s="171" t="s">
        <v>57</v>
      </c>
      <c r="K58" s="171" t="s">
        <v>415</v>
      </c>
      <c r="L58" s="133">
        <v>0</v>
      </c>
      <c r="M58" s="133">
        <v>0</v>
      </c>
      <c r="N58" s="133">
        <v>0</v>
      </c>
      <c r="O58" s="133">
        <v>4</v>
      </c>
      <c r="P58" s="133">
        <v>4</v>
      </c>
      <c r="Q58" s="171" t="s">
        <v>59</v>
      </c>
      <c r="R58" s="171" t="s">
        <v>416</v>
      </c>
      <c r="S58" s="171" t="s">
        <v>417</v>
      </c>
      <c r="T58" s="171" t="s">
        <v>62</v>
      </c>
      <c r="U58" s="171"/>
      <c r="V58" s="171"/>
      <c r="W58" s="171"/>
      <c r="X58" s="256"/>
      <c r="Y58" s="191"/>
      <c r="Z58" s="182"/>
      <c r="AA58" s="182"/>
      <c r="AB58" s="128"/>
      <c r="AC58" s="183"/>
      <c r="AD58" s="184"/>
      <c r="AE58" s="184"/>
      <c r="AF58" s="170" t="str">
        <f t="shared" si="1"/>
        <v>Jornadas de sensbilización sobre las buenas practicas de gestión documental realizadas</v>
      </c>
      <c r="AG58" s="174">
        <f t="shared" si="2"/>
        <v>0</v>
      </c>
      <c r="AH58" s="175">
        <v>0</v>
      </c>
      <c r="AI58" s="172"/>
      <c r="AJ58" s="325" t="s">
        <v>418</v>
      </c>
      <c r="AK58" s="171" t="s">
        <v>419</v>
      </c>
      <c r="AL58" s="170" t="str">
        <f t="shared" si="3"/>
        <v>Jornadas de sensbilización sobre las buenas practicas de gestión documental realizadas</v>
      </c>
      <c r="AM58" s="170">
        <f t="shared" si="10"/>
        <v>0</v>
      </c>
      <c r="AN58" s="171"/>
      <c r="AO58" s="172"/>
      <c r="AP58" s="171"/>
      <c r="AQ58" s="171"/>
      <c r="AR58" s="170" t="str">
        <f t="shared" si="4"/>
        <v>Jornadas de sensbilización sobre las buenas practicas de gestión documental realizadas</v>
      </c>
      <c r="AS58" s="170">
        <f t="shared" si="5"/>
        <v>4</v>
      </c>
      <c r="AT58" s="332">
        <v>3</v>
      </c>
      <c r="AU58" s="172">
        <f>(AT58/AS58)</f>
        <v>0.75</v>
      </c>
      <c r="AV58" s="177" t="s">
        <v>420</v>
      </c>
      <c r="AW58" s="171" t="s">
        <v>421</v>
      </c>
      <c r="AX58" s="170" t="str">
        <f t="shared" si="6"/>
        <v>Jornadas de sensbilización sobre las buenas practicas de gestión documental realizadas</v>
      </c>
      <c r="AY58" s="170">
        <f t="shared" si="7"/>
        <v>4</v>
      </c>
      <c r="AZ58" s="170">
        <v>3</v>
      </c>
      <c r="BA58" s="93">
        <f>AZ58/AY58</f>
        <v>0.75</v>
      </c>
      <c r="BB58" s="336">
        <f t="shared" si="11"/>
        <v>1.4999999999999999E-2</v>
      </c>
      <c r="BC58" s="179" t="s">
        <v>422</v>
      </c>
    </row>
    <row r="59" spans="1:55" ht="102.75" thickBot="1">
      <c r="A59" s="251"/>
      <c r="B59" s="436"/>
      <c r="C59" s="422"/>
      <c r="D59" s="254" t="s">
        <v>423</v>
      </c>
      <c r="E59" s="284">
        <v>0.01</v>
      </c>
      <c r="F59" s="51" t="s">
        <v>104</v>
      </c>
      <c r="G59" s="252" t="s">
        <v>424</v>
      </c>
      <c r="H59" s="51" t="s">
        <v>425</v>
      </c>
      <c r="I59" s="51"/>
      <c r="J59" s="51" t="s">
        <v>57</v>
      </c>
      <c r="K59" s="51" t="s">
        <v>426</v>
      </c>
      <c r="L59" s="52">
        <v>0</v>
      </c>
      <c r="M59" s="52">
        <v>0</v>
      </c>
      <c r="N59" s="52">
        <v>0</v>
      </c>
      <c r="O59" s="52">
        <v>1</v>
      </c>
      <c r="P59" s="52">
        <v>1</v>
      </c>
      <c r="Q59" s="51" t="s">
        <v>59</v>
      </c>
      <c r="R59" s="51" t="s">
        <v>427</v>
      </c>
      <c r="S59" s="171" t="s">
        <v>417</v>
      </c>
      <c r="T59" s="51" t="s">
        <v>62</v>
      </c>
      <c r="U59" s="51"/>
      <c r="V59" s="51"/>
      <c r="W59" s="51"/>
      <c r="X59" s="62"/>
      <c r="Y59" s="55"/>
      <c r="Z59" s="170" t="str">
        <f t="shared" si="0"/>
        <v>Porcentaje de cumplimiento a las buenas practicas de gestión documental</v>
      </c>
      <c r="AA59" s="170">
        <f>L59</f>
        <v>0</v>
      </c>
      <c r="AB59" s="84">
        <v>0</v>
      </c>
      <c r="AC59" s="89"/>
      <c r="AD59" s="90" t="s">
        <v>76</v>
      </c>
      <c r="AE59" s="84" t="s">
        <v>63</v>
      </c>
      <c r="AF59" s="170" t="str">
        <f>G59</f>
        <v>Porcentaje de cumplimiento a las buenas practicas de gestión documental</v>
      </c>
      <c r="AG59" s="174">
        <f>M59</f>
        <v>0</v>
      </c>
      <c r="AH59" s="175">
        <v>0</v>
      </c>
      <c r="AI59" s="172"/>
      <c r="AJ59" s="325" t="s">
        <v>428</v>
      </c>
      <c r="AK59" s="171" t="s">
        <v>419</v>
      </c>
      <c r="AL59" s="170" t="str">
        <f>G59</f>
        <v>Porcentaje de cumplimiento a las buenas practicas de gestión documental</v>
      </c>
      <c r="AM59" s="170">
        <f>N59</f>
        <v>0</v>
      </c>
      <c r="AN59" s="171"/>
      <c r="AO59" s="172"/>
      <c r="AP59" s="171"/>
      <c r="AQ59" s="171"/>
      <c r="AR59" s="170" t="str">
        <f>G59</f>
        <v>Porcentaje de cumplimiento a las buenas practicas de gestión documental</v>
      </c>
      <c r="AS59" s="170">
        <f>O59</f>
        <v>1</v>
      </c>
      <c r="AT59" s="176"/>
      <c r="AU59" s="172"/>
      <c r="AV59" s="177" t="s">
        <v>429</v>
      </c>
      <c r="AW59" s="171"/>
      <c r="AX59" s="170" t="str">
        <f>G59</f>
        <v>Porcentaje de cumplimiento a las buenas practicas de gestión documental</v>
      </c>
      <c r="AY59" s="170">
        <f>P59</f>
        <v>1</v>
      </c>
      <c r="AZ59" s="178">
        <f>IF(J59="CONSTANTE",AVERAGE(AB59,AH59,AN59,AT59),(SUM(AB59,AH59,AN59,AT59)))</f>
        <v>0</v>
      </c>
      <c r="BA59" s="93">
        <f>AZ59/AY59</f>
        <v>0</v>
      </c>
      <c r="BB59" s="336">
        <f t="shared" si="11"/>
        <v>0</v>
      </c>
      <c r="BC59" s="179" t="s">
        <v>430</v>
      </c>
    </row>
    <row r="60" spans="1:55" ht="84.75" customHeight="1" thickBot="1">
      <c r="A60" s="251"/>
      <c r="B60" s="436"/>
      <c r="C60" s="422"/>
      <c r="D60" s="257" t="s">
        <v>431</v>
      </c>
      <c r="E60" s="286">
        <v>0.01</v>
      </c>
      <c r="F60" s="138" t="s">
        <v>54</v>
      </c>
      <c r="G60" s="258" t="s">
        <v>432</v>
      </c>
      <c r="H60" s="138" t="s">
        <v>433</v>
      </c>
      <c r="I60" s="138"/>
      <c r="J60" s="138" t="s">
        <v>57</v>
      </c>
      <c r="K60" s="138" t="s">
        <v>434</v>
      </c>
      <c r="L60" s="133">
        <v>0</v>
      </c>
      <c r="M60" s="133">
        <v>0</v>
      </c>
      <c r="N60" s="133">
        <v>0</v>
      </c>
      <c r="O60" s="133">
        <v>1</v>
      </c>
      <c r="P60" s="133">
        <v>1</v>
      </c>
      <c r="Q60" s="138" t="s">
        <v>435</v>
      </c>
      <c r="R60" s="138" t="s">
        <v>436</v>
      </c>
      <c r="S60" s="171" t="s">
        <v>417</v>
      </c>
      <c r="T60" s="138" t="s">
        <v>62</v>
      </c>
      <c r="U60" s="138"/>
      <c r="V60" s="138"/>
      <c r="W60" s="138"/>
      <c r="X60" s="154"/>
      <c r="Y60" s="141"/>
      <c r="Z60" s="170" t="str">
        <f>G60</f>
        <v>Inventario de gestión realizado</v>
      </c>
      <c r="AA60" s="170">
        <f>L60</f>
        <v>0</v>
      </c>
      <c r="AB60" s="84">
        <v>0</v>
      </c>
      <c r="AC60" s="89"/>
      <c r="AD60" s="90" t="s">
        <v>76</v>
      </c>
      <c r="AE60" s="84" t="s">
        <v>63</v>
      </c>
      <c r="AF60" s="170" t="str">
        <f>G60</f>
        <v>Inventario de gestión realizado</v>
      </c>
      <c r="AG60" s="174">
        <f>M60</f>
        <v>0</v>
      </c>
      <c r="AH60" s="175">
        <v>0</v>
      </c>
      <c r="AI60" s="172"/>
      <c r="AJ60" s="90" t="s">
        <v>76</v>
      </c>
      <c r="AK60" s="84" t="s">
        <v>63</v>
      </c>
      <c r="AL60" s="170" t="str">
        <f>G60</f>
        <v>Inventario de gestión realizado</v>
      </c>
      <c r="AM60" s="170">
        <f>N60</f>
        <v>0</v>
      </c>
      <c r="AN60" s="171"/>
      <c r="AO60" s="172"/>
      <c r="AP60" s="171"/>
      <c r="AQ60" s="171"/>
      <c r="AR60" s="170" t="str">
        <f>G60</f>
        <v>Inventario de gestión realizado</v>
      </c>
      <c r="AS60" s="178">
        <f>O60</f>
        <v>1</v>
      </c>
      <c r="AT60" s="176">
        <f>1/1</f>
        <v>1</v>
      </c>
      <c r="AU60" s="172">
        <f>(AT60/AS60)</f>
        <v>1</v>
      </c>
      <c r="AV60" s="177" t="s">
        <v>437</v>
      </c>
      <c r="AW60" s="171" t="s">
        <v>438</v>
      </c>
      <c r="AX60" s="170" t="str">
        <f>G60</f>
        <v>Inventario de gestión realizado</v>
      </c>
      <c r="AY60" s="170">
        <f>P60</f>
        <v>1</v>
      </c>
      <c r="AZ60" s="178">
        <f>IF(J60="CONSTANTE",AVERAGE(AB60,AH60,AN60,AT60),(SUM(AB60,AH60,AN60,AT60)))</f>
        <v>1</v>
      </c>
      <c r="BA60" s="93">
        <f>AZ60/AY60</f>
        <v>1</v>
      </c>
      <c r="BB60" s="336">
        <f t="shared" si="11"/>
        <v>0.01</v>
      </c>
      <c r="BC60" s="179" t="s">
        <v>439</v>
      </c>
    </row>
    <row r="61" spans="1:55" ht="81" customHeight="1" thickBot="1">
      <c r="A61" s="196"/>
      <c r="B61" s="436"/>
      <c r="C61" s="423"/>
      <c r="D61" s="259" t="s">
        <v>90</v>
      </c>
      <c r="E61" s="260">
        <v>0.04</v>
      </c>
      <c r="F61" s="229"/>
      <c r="G61" s="150"/>
      <c r="H61" s="150"/>
      <c r="I61" s="155"/>
      <c r="J61" s="128"/>
      <c r="K61" s="128"/>
      <c r="L61" s="157"/>
      <c r="M61" s="157"/>
      <c r="N61" s="157"/>
      <c r="O61" s="157"/>
      <c r="P61" s="128"/>
      <c r="Q61" s="128"/>
      <c r="R61" s="128"/>
      <c r="S61" s="128"/>
      <c r="T61" s="128"/>
      <c r="U61" s="128"/>
      <c r="V61" s="128"/>
      <c r="W61" s="128"/>
      <c r="X61" s="158"/>
      <c r="Y61" s="159"/>
      <c r="Z61" s="170">
        <f>G61</f>
        <v>0</v>
      </c>
      <c r="AA61" s="170">
        <f>L61</f>
        <v>0</v>
      </c>
      <c r="AB61" s="84">
        <v>0</v>
      </c>
      <c r="AC61" s="89"/>
      <c r="AD61" s="90" t="s">
        <v>76</v>
      </c>
      <c r="AE61" s="84" t="s">
        <v>63</v>
      </c>
      <c r="AF61" s="182"/>
      <c r="AG61" s="185"/>
      <c r="AH61" s="186"/>
      <c r="AI61" s="183"/>
      <c r="AJ61" s="128"/>
      <c r="AK61" s="128"/>
      <c r="AL61" s="182"/>
      <c r="AM61" s="182"/>
      <c r="AN61" s="128"/>
      <c r="AO61" s="183"/>
      <c r="AP61" s="128"/>
      <c r="AQ61" s="128"/>
      <c r="AR61" s="182"/>
      <c r="AS61" s="182"/>
      <c r="AT61" s="157"/>
      <c r="AU61" s="183"/>
      <c r="AV61" s="187"/>
      <c r="AW61" s="128"/>
      <c r="AX61" s="182"/>
      <c r="AY61" s="182"/>
      <c r="AZ61" s="188"/>
      <c r="BA61" s="189"/>
      <c r="BB61" s="336">
        <f>SUM(BB58:BB60)</f>
        <v>2.5000000000000001E-2</v>
      </c>
      <c r="BC61" s="190"/>
    </row>
    <row r="62" spans="1:55" ht="409.6" thickBot="1">
      <c r="A62" s="124">
        <v>38</v>
      </c>
      <c r="B62" s="436"/>
      <c r="C62" s="386" t="s">
        <v>440</v>
      </c>
      <c r="D62" s="221" t="s">
        <v>441</v>
      </c>
      <c r="E62" s="285">
        <v>0.04</v>
      </c>
      <c r="F62" s="235" t="s">
        <v>220</v>
      </c>
      <c r="G62" s="173" t="s">
        <v>442</v>
      </c>
      <c r="H62" s="171" t="s">
        <v>443</v>
      </c>
      <c r="I62" s="171"/>
      <c r="J62" s="171" t="s">
        <v>57</v>
      </c>
      <c r="K62" s="171" t="s">
        <v>444</v>
      </c>
      <c r="L62" s="176">
        <v>0</v>
      </c>
      <c r="M62" s="176">
        <v>0</v>
      </c>
      <c r="N62" s="176">
        <v>0</v>
      </c>
      <c r="O62" s="176">
        <v>1</v>
      </c>
      <c r="P62" s="176">
        <v>1</v>
      </c>
      <c r="Q62" s="171" t="s">
        <v>59</v>
      </c>
      <c r="R62" s="171" t="s">
        <v>445</v>
      </c>
      <c r="S62" s="171" t="s">
        <v>446</v>
      </c>
      <c r="T62" s="171"/>
      <c r="U62" s="171"/>
      <c r="V62" s="171"/>
      <c r="W62" s="171"/>
      <c r="X62" s="154"/>
      <c r="Y62" s="191"/>
      <c r="Z62" s="182"/>
      <c r="AA62" s="182"/>
      <c r="AB62" s="128"/>
      <c r="AC62" s="183"/>
      <c r="AD62" s="184"/>
      <c r="AE62" s="184"/>
      <c r="AF62" s="170" t="str">
        <f t="shared" si="1"/>
        <v>Lineamientos de Gestión de la TIC implementados en la alcaldia local</v>
      </c>
      <c r="AG62" s="170" t="str">
        <f>R62</f>
        <v>Informes - Oficina de Sistemas</v>
      </c>
      <c r="AH62" s="84">
        <v>0</v>
      </c>
      <c r="AI62" s="89"/>
      <c r="AJ62" s="90" t="s">
        <v>447</v>
      </c>
      <c r="AK62" s="84" t="s">
        <v>63</v>
      </c>
      <c r="AL62" s="170" t="str">
        <f t="shared" si="3"/>
        <v>Lineamientos de Gestión de la TIC implementados en la alcaldia local</v>
      </c>
      <c r="AM62" s="170">
        <f t="shared" si="10"/>
        <v>0</v>
      </c>
      <c r="AN62" s="171"/>
      <c r="AO62" s="172"/>
      <c r="AP62" s="171" t="s">
        <v>88</v>
      </c>
      <c r="AQ62" s="171"/>
      <c r="AR62" s="170" t="str">
        <f t="shared" si="4"/>
        <v>Lineamientos de Gestión de la TIC implementados en la alcaldia local</v>
      </c>
      <c r="AS62" s="178">
        <f t="shared" si="5"/>
        <v>1</v>
      </c>
      <c r="AT62" s="176">
        <f>7/11</f>
        <v>0.63636363636363635</v>
      </c>
      <c r="AU62" s="172">
        <f>(AT62/AS62)</f>
        <v>0.63636363636363635</v>
      </c>
      <c r="AV62" s="177" t="s">
        <v>448</v>
      </c>
      <c r="AW62" s="171" t="s">
        <v>449</v>
      </c>
      <c r="AX62" s="170" t="str">
        <f t="shared" si="6"/>
        <v>Lineamientos de Gestión de la TIC implementados en la alcaldia local</v>
      </c>
      <c r="AY62" s="170">
        <f t="shared" si="7"/>
        <v>1</v>
      </c>
      <c r="AZ62" s="178">
        <f>IF(J62="CONSTANTE",AVERAGE(AB62,AH62,AN62,AT62),(SUM(AB62,AH62,AN62,AT62)))</f>
        <v>0.63636363636363635</v>
      </c>
      <c r="BA62" s="93">
        <f>AZ62/AY62</f>
        <v>0.63636363636363635</v>
      </c>
      <c r="BB62" s="336">
        <f t="shared" si="11"/>
        <v>2.5454545454545455E-2</v>
      </c>
      <c r="BC62" s="179" t="s">
        <v>450</v>
      </c>
    </row>
    <row r="63" spans="1:55" ht="81" customHeight="1" thickBot="1">
      <c r="A63" s="196"/>
      <c r="B63" s="438"/>
      <c r="C63" s="388"/>
      <c r="D63" s="222" t="s">
        <v>90</v>
      </c>
      <c r="E63" s="244">
        <v>0.04</v>
      </c>
      <c r="F63" s="229"/>
      <c r="G63" s="152"/>
      <c r="H63" s="150"/>
      <c r="I63" s="155"/>
      <c r="J63" s="128"/>
      <c r="K63" s="128"/>
      <c r="L63" s="157"/>
      <c r="M63" s="157"/>
      <c r="N63" s="157"/>
      <c r="O63" s="157"/>
      <c r="P63" s="128"/>
      <c r="Q63" s="128"/>
      <c r="R63" s="128"/>
      <c r="S63" s="128"/>
      <c r="T63" s="128"/>
      <c r="U63" s="128"/>
      <c r="V63" s="128"/>
      <c r="W63" s="128"/>
      <c r="X63" s="158"/>
      <c r="Y63" s="159"/>
      <c r="Z63" s="170">
        <f t="shared" si="0"/>
        <v>0</v>
      </c>
      <c r="AA63" s="170">
        <f>L63</f>
        <v>0</v>
      </c>
      <c r="AB63" s="84">
        <v>0</v>
      </c>
      <c r="AC63" s="89"/>
      <c r="AD63" s="90" t="s">
        <v>76</v>
      </c>
      <c r="AE63" s="84" t="s">
        <v>63</v>
      </c>
      <c r="AF63" s="182"/>
      <c r="AG63" s="185"/>
      <c r="AH63" s="186"/>
      <c r="AI63" s="183"/>
      <c r="AJ63" s="128"/>
      <c r="AK63" s="128"/>
      <c r="AL63" s="182"/>
      <c r="AM63" s="182"/>
      <c r="AN63" s="128"/>
      <c r="AO63" s="183"/>
      <c r="AP63" s="128"/>
      <c r="AQ63" s="128"/>
      <c r="AR63" s="182"/>
      <c r="AS63" s="182"/>
      <c r="AT63" s="157"/>
      <c r="AU63" s="183"/>
      <c r="AV63" s="187"/>
      <c r="AW63" s="128"/>
      <c r="AX63" s="182"/>
      <c r="AY63" s="182"/>
      <c r="AZ63" s="188"/>
      <c r="BA63" s="189"/>
      <c r="BB63" s="336">
        <f>SUM(BB62)</f>
        <v>2.5454545454545455E-2</v>
      </c>
      <c r="BC63" s="190"/>
    </row>
    <row r="64" spans="1:55" ht="60" customHeight="1" thickBot="1">
      <c r="A64" s="124">
        <v>39</v>
      </c>
      <c r="B64" s="431" t="s">
        <v>451</v>
      </c>
      <c r="C64" s="386" t="s">
        <v>452</v>
      </c>
      <c r="D64" s="261" t="s">
        <v>453</v>
      </c>
      <c r="E64" s="264">
        <v>0.02</v>
      </c>
      <c r="F64" s="262" t="s">
        <v>454</v>
      </c>
      <c r="G64" s="265" t="s">
        <v>455</v>
      </c>
      <c r="H64" s="263" t="s">
        <v>456</v>
      </c>
      <c r="I64" s="248" t="s">
        <v>63</v>
      </c>
      <c r="J64" s="249" t="s">
        <v>57</v>
      </c>
      <c r="K64" s="248" t="s">
        <v>457</v>
      </c>
      <c r="L64" s="86">
        <v>0</v>
      </c>
      <c r="M64" s="86">
        <v>0</v>
      </c>
      <c r="N64" s="86">
        <v>0</v>
      </c>
      <c r="O64" s="250">
        <v>1</v>
      </c>
      <c r="P64" s="250">
        <v>1</v>
      </c>
      <c r="Q64" s="84" t="s">
        <v>59</v>
      </c>
      <c r="R64" s="84"/>
      <c r="S64" s="287"/>
      <c r="T64" s="84"/>
      <c r="U64" s="84"/>
      <c r="V64" s="84"/>
      <c r="W64" s="84"/>
      <c r="X64" s="95"/>
      <c r="Y64" s="88"/>
      <c r="Z64" s="85" t="str">
        <f t="shared" si="0"/>
        <v>Linea base del consumo de papel del proceso establecida</v>
      </c>
      <c r="AA64" s="85">
        <f t="shared" ref="AA64:AB70" si="16">L64</f>
        <v>0</v>
      </c>
      <c r="AB64" s="84">
        <v>0</v>
      </c>
      <c r="AC64" s="315"/>
      <c r="AD64" s="184"/>
      <c r="AE64" s="184"/>
      <c r="AF64" s="85" t="str">
        <f t="shared" si="1"/>
        <v>Linea base del consumo de papel del proceso establecida</v>
      </c>
      <c r="AG64" s="91">
        <f t="shared" ref="AG64:AH70" si="17">M64</f>
        <v>0</v>
      </c>
      <c r="AH64" s="91">
        <f t="shared" si="17"/>
        <v>0</v>
      </c>
      <c r="AI64" s="89"/>
      <c r="AJ64" s="84" t="s">
        <v>458</v>
      </c>
      <c r="AK64" s="84"/>
      <c r="AL64" s="85" t="str">
        <f t="shared" ref="AL64:AL70" si="18">G64</f>
        <v>Linea base del consumo de papel del proceso establecida</v>
      </c>
      <c r="AM64" s="85">
        <f t="shared" ref="AM64:AM70" si="19">N64</f>
        <v>0</v>
      </c>
      <c r="AN64" s="84">
        <v>0</v>
      </c>
      <c r="AO64" s="89"/>
      <c r="AP64" s="84" t="s">
        <v>458</v>
      </c>
      <c r="AQ64" s="84"/>
      <c r="AR64" s="85" t="str">
        <f t="shared" si="4"/>
        <v>Linea base del consumo de papel del proceso establecida</v>
      </c>
      <c r="AS64" s="85">
        <f t="shared" si="5"/>
        <v>1</v>
      </c>
      <c r="AT64" s="443">
        <v>0.5</v>
      </c>
      <c r="AU64" s="444">
        <f>AT64/AS64</f>
        <v>0.5</v>
      </c>
      <c r="AV64" s="113" t="s">
        <v>587</v>
      </c>
      <c r="AW64" s="85" t="s">
        <v>455</v>
      </c>
      <c r="AX64" s="85" t="str">
        <f t="shared" si="6"/>
        <v>Linea base del consumo de papel del proceso establecida</v>
      </c>
      <c r="AY64" s="85">
        <v>1</v>
      </c>
      <c r="AZ64" s="94">
        <v>0.5</v>
      </c>
      <c r="BA64" s="93">
        <v>0.5</v>
      </c>
      <c r="BB64" s="336">
        <f>BA64*E64</f>
        <v>0.01</v>
      </c>
      <c r="BC64" s="114"/>
    </row>
    <row r="65" spans="1:55" ht="60" customHeight="1" thickBot="1">
      <c r="A65" s="125">
        <v>40</v>
      </c>
      <c r="B65" s="432"/>
      <c r="C65" s="387"/>
      <c r="D65" s="223" t="s">
        <v>459</v>
      </c>
      <c r="E65" s="245">
        <v>0.04</v>
      </c>
      <c r="F65" s="236" t="s">
        <v>460</v>
      </c>
      <c r="G65" s="77" t="s">
        <v>461</v>
      </c>
      <c r="H65" s="75" t="s">
        <v>461</v>
      </c>
      <c r="I65" s="51" t="s">
        <v>63</v>
      </c>
      <c r="J65" s="12" t="s">
        <v>57</v>
      </c>
      <c r="K65" s="51" t="s">
        <v>462</v>
      </c>
      <c r="L65" s="52">
        <v>0</v>
      </c>
      <c r="M65" s="52">
        <v>0</v>
      </c>
      <c r="N65" s="52">
        <v>0</v>
      </c>
      <c r="O65" s="78">
        <v>1</v>
      </c>
      <c r="P65" s="78">
        <v>1</v>
      </c>
      <c r="Q65" s="51" t="s">
        <v>59</v>
      </c>
      <c r="R65" s="51" t="s">
        <v>463</v>
      </c>
      <c r="S65" s="51" t="s">
        <v>464</v>
      </c>
      <c r="T65" s="51"/>
      <c r="U65" s="51"/>
      <c r="V65" s="51"/>
      <c r="W65" s="51"/>
      <c r="X65" s="95"/>
      <c r="Y65" s="55"/>
      <c r="Z65" s="85" t="str">
        <f t="shared" si="0"/>
        <v>Línea base del perfil del riesgo</v>
      </c>
      <c r="AA65" s="85">
        <f t="shared" si="16"/>
        <v>0</v>
      </c>
      <c r="AB65" s="84">
        <v>0</v>
      </c>
      <c r="AC65" s="315"/>
      <c r="AD65" s="90"/>
      <c r="AE65" s="90"/>
      <c r="AF65" s="85" t="str">
        <f t="shared" si="1"/>
        <v>Línea base del perfil del riesgo</v>
      </c>
      <c r="AG65" s="91">
        <f t="shared" si="17"/>
        <v>0</v>
      </c>
      <c r="AH65" s="91">
        <f t="shared" si="17"/>
        <v>0</v>
      </c>
      <c r="AI65" s="89"/>
      <c r="AJ65" s="84" t="s">
        <v>458</v>
      </c>
      <c r="AK65" s="84"/>
      <c r="AL65" s="85" t="str">
        <f t="shared" si="18"/>
        <v>Línea base del perfil del riesgo</v>
      </c>
      <c r="AM65" s="85">
        <f t="shared" si="19"/>
        <v>0</v>
      </c>
      <c r="AN65" s="84">
        <v>0</v>
      </c>
      <c r="AO65" s="89"/>
      <c r="AP65" s="84" t="s">
        <v>458</v>
      </c>
      <c r="AQ65" s="84"/>
      <c r="AR65" s="85" t="str">
        <f t="shared" si="4"/>
        <v>Línea base del perfil del riesgo</v>
      </c>
      <c r="AS65" s="85">
        <f t="shared" si="5"/>
        <v>1</v>
      </c>
      <c r="AT65" s="443">
        <v>1</v>
      </c>
      <c r="AU65" s="444">
        <f t="shared" ref="AU65:AU70" si="20">AT65/AS65</f>
        <v>1</v>
      </c>
      <c r="AV65" s="113" t="s">
        <v>588</v>
      </c>
      <c r="AW65" s="85" t="s">
        <v>461</v>
      </c>
      <c r="AX65" s="85" t="str">
        <f t="shared" si="6"/>
        <v>Línea base del perfil del riesgo</v>
      </c>
      <c r="AY65" s="85">
        <v>1</v>
      </c>
      <c r="AZ65" s="94">
        <v>1</v>
      </c>
      <c r="BA65" s="93">
        <v>1</v>
      </c>
      <c r="BB65" s="336">
        <f t="shared" ref="BB65:BB70" si="21">BA65*E65</f>
        <v>0.04</v>
      </c>
      <c r="BC65" s="114"/>
    </row>
    <row r="66" spans="1:55" ht="112.5" customHeight="1" thickBot="1">
      <c r="A66" s="125">
        <v>41</v>
      </c>
      <c r="B66" s="432"/>
      <c r="C66" s="387"/>
      <c r="D66" s="223" t="s">
        <v>465</v>
      </c>
      <c r="E66" s="245">
        <v>0.06</v>
      </c>
      <c r="F66" s="236" t="s">
        <v>460</v>
      </c>
      <c r="G66" s="58" t="s">
        <v>466</v>
      </c>
      <c r="H66" s="75" t="s">
        <v>467</v>
      </c>
      <c r="I66" s="51" t="s">
        <v>63</v>
      </c>
      <c r="J66" s="12" t="s">
        <v>107</v>
      </c>
      <c r="K66" s="51" t="s">
        <v>468</v>
      </c>
      <c r="L66" s="52">
        <v>1</v>
      </c>
      <c r="M66" s="52">
        <v>1</v>
      </c>
      <c r="N66" s="52">
        <v>1</v>
      </c>
      <c r="O66" s="52">
        <v>1</v>
      </c>
      <c r="P66" s="52">
        <v>1</v>
      </c>
      <c r="Q66" s="51" t="s">
        <v>59</v>
      </c>
      <c r="R66" s="51" t="s">
        <v>469</v>
      </c>
      <c r="S66" s="51" t="s">
        <v>464</v>
      </c>
      <c r="T66" s="51"/>
      <c r="U66" s="51"/>
      <c r="V66" s="51"/>
      <c r="W66" s="51"/>
      <c r="X66" s="95"/>
      <c r="Y66" s="55"/>
      <c r="Z66" s="85" t="str">
        <f t="shared" si="0"/>
        <v>Acciones correctivas documentadas y vigentes</v>
      </c>
      <c r="AA66" s="94">
        <v>1</v>
      </c>
      <c r="AB66" s="329">
        <v>0.86</v>
      </c>
      <c r="AC66" s="315">
        <f>(AB66/AA66)</f>
        <v>0.86</v>
      </c>
      <c r="AD66" s="90"/>
      <c r="AE66" s="90"/>
      <c r="AF66" s="85" t="str">
        <f t="shared" si="1"/>
        <v>Acciones correctivas documentadas y vigentes</v>
      </c>
      <c r="AG66" s="94">
        <f t="shared" si="17"/>
        <v>1</v>
      </c>
      <c r="AH66" s="92">
        <v>0.75</v>
      </c>
      <c r="AI66" s="89">
        <f>(AH66/AG66)</f>
        <v>0.75</v>
      </c>
      <c r="AJ66" s="84" t="s">
        <v>470</v>
      </c>
      <c r="AK66" s="84"/>
      <c r="AL66" s="85" t="str">
        <f t="shared" si="18"/>
        <v>Acciones correctivas documentadas y vigentes</v>
      </c>
      <c r="AM66" s="94">
        <f t="shared" si="19"/>
        <v>1</v>
      </c>
      <c r="AN66" s="92">
        <v>0.73</v>
      </c>
      <c r="AO66" s="89">
        <f>(AN66/AM66)</f>
        <v>0.73</v>
      </c>
      <c r="AP66" s="84" t="s">
        <v>471</v>
      </c>
      <c r="AQ66" s="84"/>
      <c r="AR66" s="85" t="str">
        <f t="shared" si="4"/>
        <v>Acciones correctivas documentadas y vigentes</v>
      </c>
      <c r="AS66" s="94">
        <f t="shared" si="5"/>
        <v>1</v>
      </c>
      <c r="AT66" s="92">
        <v>0.84</v>
      </c>
      <c r="AU66" s="444">
        <f t="shared" si="20"/>
        <v>0.84</v>
      </c>
      <c r="AV66" s="113" t="s">
        <v>593</v>
      </c>
      <c r="AW66" s="85" t="s">
        <v>586</v>
      </c>
      <c r="AX66" s="85" t="str">
        <f t="shared" si="6"/>
        <v>Acciones correctivas documentadas y vigentes</v>
      </c>
      <c r="AY66" s="85">
        <v>1</v>
      </c>
      <c r="AZ66" s="94">
        <v>0.84</v>
      </c>
      <c r="BA66" s="93">
        <v>0.84</v>
      </c>
      <c r="BB66" s="336">
        <f t="shared" si="21"/>
        <v>5.0399999999999993E-2</v>
      </c>
      <c r="BC66" s="114"/>
    </row>
    <row r="67" spans="1:55" ht="106.5" customHeight="1" thickBot="1">
      <c r="A67" s="125">
        <v>42</v>
      </c>
      <c r="B67" s="432"/>
      <c r="C67" s="387"/>
      <c r="D67" s="224" t="s">
        <v>472</v>
      </c>
      <c r="E67" s="245">
        <v>0.02</v>
      </c>
      <c r="F67" s="236" t="s">
        <v>460</v>
      </c>
      <c r="G67" s="58" t="s">
        <v>473</v>
      </c>
      <c r="H67" s="76" t="s">
        <v>474</v>
      </c>
      <c r="I67" s="51" t="s">
        <v>63</v>
      </c>
      <c r="J67" s="12" t="s">
        <v>107</v>
      </c>
      <c r="K67" s="51" t="s">
        <v>475</v>
      </c>
      <c r="L67" s="52">
        <v>1</v>
      </c>
      <c r="M67" s="52">
        <v>1</v>
      </c>
      <c r="N67" s="52">
        <v>1</v>
      </c>
      <c r="O67" s="52">
        <v>1</v>
      </c>
      <c r="P67" s="52">
        <v>1</v>
      </c>
      <c r="Q67" s="51" t="s">
        <v>59</v>
      </c>
      <c r="R67" s="51" t="s">
        <v>463</v>
      </c>
      <c r="S67" s="51" t="s">
        <v>464</v>
      </c>
      <c r="T67" s="51"/>
      <c r="U67" s="51"/>
      <c r="V67" s="51"/>
      <c r="W67" s="51"/>
      <c r="X67" s="95"/>
      <c r="Y67" s="55"/>
      <c r="Z67" s="85" t="str">
        <f t="shared" si="0"/>
        <v>Cumplimiento en reportes de riesgos de manera oportuna</v>
      </c>
      <c r="AA67" s="94">
        <f t="shared" si="16"/>
        <v>1</v>
      </c>
      <c r="AB67" s="329">
        <v>1</v>
      </c>
      <c r="AC67" s="315">
        <f>(AB67/AA67)</f>
        <v>1</v>
      </c>
      <c r="AD67" s="90"/>
      <c r="AE67" s="90"/>
      <c r="AF67" s="85" t="str">
        <f t="shared" si="1"/>
        <v>Cumplimiento en reportes de riesgos de manera oportuna</v>
      </c>
      <c r="AG67" s="94">
        <f t="shared" si="17"/>
        <v>1</v>
      </c>
      <c r="AH67" s="92">
        <v>1</v>
      </c>
      <c r="AI67" s="89">
        <f>(AH67/AG67)</f>
        <v>1</v>
      </c>
      <c r="AJ67" s="84" t="s">
        <v>476</v>
      </c>
      <c r="AK67" s="84"/>
      <c r="AL67" s="85" t="str">
        <f t="shared" si="18"/>
        <v>Cumplimiento en reportes de riesgos de manera oportuna</v>
      </c>
      <c r="AM67" s="94">
        <f t="shared" si="19"/>
        <v>1</v>
      </c>
      <c r="AN67" s="92">
        <v>0.5</v>
      </c>
      <c r="AO67" s="89">
        <f>(AN67/AM67)</f>
        <v>0.5</v>
      </c>
      <c r="AP67" s="84" t="s">
        <v>477</v>
      </c>
      <c r="AQ67" s="84"/>
      <c r="AR67" s="85" t="str">
        <f t="shared" si="4"/>
        <v>Cumplimiento en reportes de riesgos de manera oportuna</v>
      </c>
      <c r="AS67" s="94">
        <f t="shared" si="5"/>
        <v>1</v>
      </c>
      <c r="AT67" s="92">
        <v>1</v>
      </c>
      <c r="AU67" s="444">
        <f t="shared" si="20"/>
        <v>1</v>
      </c>
      <c r="AV67" s="113" t="s">
        <v>589</v>
      </c>
      <c r="AW67" s="85" t="s">
        <v>473</v>
      </c>
      <c r="AX67" s="85" t="str">
        <f t="shared" si="6"/>
        <v>Cumplimiento en reportes de riesgos de manera oportuna</v>
      </c>
      <c r="AY67" s="85">
        <v>1</v>
      </c>
      <c r="AZ67" s="94">
        <v>1</v>
      </c>
      <c r="BA67" s="93">
        <v>1</v>
      </c>
      <c r="BB67" s="336">
        <f t="shared" si="21"/>
        <v>0.02</v>
      </c>
      <c r="BC67" s="114"/>
    </row>
    <row r="68" spans="1:55" ht="89.25" customHeight="1" thickBot="1">
      <c r="A68" s="125">
        <v>43</v>
      </c>
      <c r="B68" s="432"/>
      <c r="C68" s="387"/>
      <c r="D68" s="224" t="s">
        <v>478</v>
      </c>
      <c r="E68" s="245">
        <v>0.02</v>
      </c>
      <c r="F68" s="236" t="s">
        <v>460</v>
      </c>
      <c r="G68" s="58" t="s">
        <v>479</v>
      </c>
      <c r="H68" s="76" t="s">
        <v>480</v>
      </c>
      <c r="I68" s="51" t="s">
        <v>63</v>
      </c>
      <c r="J68" s="12" t="s">
        <v>107</v>
      </c>
      <c r="K68" s="51" t="s">
        <v>481</v>
      </c>
      <c r="L68" s="52">
        <v>1</v>
      </c>
      <c r="M68" s="52">
        <v>1</v>
      </c>
      <c r="N68" s="52">
        <v>1</v>
      </c>
      <c r="O68" s="52">
        <v>1</v>
      </c>
      <c r="P68" s="52">
        <v>1</v>
      </c>
      <c r="Q68" s="51" t="s">
        <v>59</v>
      </c>
      <c r="R68" s="51" t="s">
        <v>482</v>
      </c>
      <c r="S68" s="51" t="s">
        <v>464</v>
      </c>
      <c r="T68" s="51"/>
      <c r="U68" s="51"/>
      <c r="V68" s="51"/>
      <c r="W68" s="51"/>
      <c r="X68" s="95"/>
      <c r="Y68" s="55"/>
      <c r="Z68" s="85" t="str">
        <f t="shared" si="0"/>
        <v>Asistencia a las mesas de trabajo relacionadas con el Sistema de Gestión</v>
      </c>
      <c r="AA68" s="94">
        <f t="shared" si="16"/>
        <v>1</v>
      </c>
      <c r="AB68" s="92">
        <v>0.86</v>
      </c>
      <c r="AC68" s="89">
        <f>(AB68/AA68)</f>
        <v>0.86</v>
      </c>
      <c r="AD68" s="90"/>
      <c r="AE68" s="90"/>
      <c r="AF68" s="85" t="str">
        <f t="shared" si="1"/>
        <v>Asistencia a las mesas de trabajo relacionadas con el Sistema de Gestión</v>
      </c>
      <c r="AG68" s="94">
        <f t="shared" si="17"/>
        <v>1</v>
      </c>
      <c r="AH68" s="92">
        <v>0.87</v>
      </c>
      <c r="AI68" s="89">
        <f>(AH68/AG68)</f>
        <v>0.87</v>
      </c>
      <c r="AJ68" s="84" t="s">
        <v>483</v>
      </c>
      <c r="AK68" s="84"/>
      <c r="AL68" s="85" t="str">
        <f t="shared" si="18"/>
        <v>Asistencia a las mesas de trabajo relacionadas con el Sistema de Gestión</v>
      </c>
      <c r="AM68" s="94">
        <f t="shared" si="19"/>
        <v>1</v>
      </c>
      <c r="AN68" s="92">
        <v>1</v>
      </c>
      <c r="AO68" s="89">
        <f>(AN68/AM68)</f>
        <v>1</v>
      </c>
      <c r="AP68" s="84" t="s">
        <v>484</v>
      </c>
      <c r="AQ68" s="84"/>
      <c r="AR68" s="85" t="str">
        <f t="shared" si="4"/>
        <v>Asistencia a las mesas de trabajo relacionadas con el Sistema de Gestión</v>
      </c>
      <c r="AS68" s="94">
        <f t="shared" si="5"/>
        <v>1</v>
      </c>
      <c r="AT68" s="92">
        <v>1</v>
      </c>
      <c r="AU68" s="444">
        <f t="shared" si="20"/>
        <v>1</v>
      </c>
      <c r="AV68" s="321" t="s">
        <v>590</v>
      </c>
      <c r="AW68" s="85" t="s">
        <v>479</v>
      </c>
      <c r="AX68" s="85" t="str">
        <f t="shared" si="6"/>
        <v>Asistencia a las mesas de trabajo relacionadas con el Sistema de Gestión</v>
      </c>
      <c r="AY68" s="94">
        <v>1</v>
      </c>
      <c r="AZ68" s="94">
        <v>1</v>
      </c>
      <c r="BA68" s="93">
        <v>1</v>
      </c>
      <c r="BB68" s="336">
        <f t="shared" si="21"/>
        <v>0.02</v>
      </c>
      <c r="BC68" s="114"/>
    </row>
    <row r="69" spans="1:55" ht="108.75" customHeight="1" thickBot="1">
      <c r="A69" s="125">
        <v>44</v>
      </c>
      <c r="B69" s="432"/>
      <c r="C69" s="387"/>
      <c r="D69" s="224" t="s">
        <v>485</v>
      </c>
      <c r="E69" s="246">
        <v>0.02</v>
      </c>
      <c r="F69" s="236" t="s">
        <v>460</v>
      </c>
      <c r="G69" s="58" t="s">
        <v>486</v>
      </c>
      <c r="H69" s="75" t="s">
        <v>487</v>
      </c>
      <c r="I69" s="51" t="s">
        <v>63</v>
      </c>
      <c r="J69" s="12" t="s">
        <v>107</v>
      </c>
      <c r="K69" s="51" t="s">
        <v>488</v>
      </c>
      <c r="L69" s="52">
        <v>1</v>
      </c>
      <c r="M69" s="52">
        <v>1</v>
      </c>
      <c r="N69" s="52">
        <v>1</v>
      </c>
      <c r="O69" s="52">
        <v>1</v>
      </c>
      <c r="P69" s="52">
        <v>1</v>
      </c>
      <c r="Q69" s="51" t="s">
        <v>59</v>
      </c>
      <c r="R69" s="51" t="s">
        <v>489</v>
      </c>
      <c r="S69" s="51" t="s">
        <v>464</v>
      </c>
      <c r="T69" s="51"/>
      <c r="U69" s="51"/>
      <c r="V69" s="51"/>
      <c r="W69" s="51"/>
      <c r="X69" s="95"/>
      <c r="Y69" s="55"/>
      <c r="Z69" s="85" t="str">
        <f t="shared" si="0"/>
        <v>Cumplimiento del plan de actualización de los procesos en el marco del Sistema de Gestión</v>
      </c>
      <c r="AA69" s="94">
        <f t="shared" si="16"/>
        <v>1</v>
      </c>
      <c r="AB69" s="94">
        <f t="shared" si="16"/>
        <v>1</v>
      </c>
      <c r="AC69" s="315">
        <f>(AB69/AA69)</f>
        <v>1</v>
      </c>
      <c r="AD69" s="90"/>
      <c r="AE69" s="90"/>
      <c r="AF69" s="85" t="str">
        <f t="shared" si="1"/>
        <v>Cumplimiento del plan de actualización de los procesos en el marco del Sistema de Gestión</v>
      </c>
      <c r="AG69" s="94">
        <f t="shared" si="17"/>
        <v>1</v>
      </c>
      <c r="AH69" s="92">
        <v>0.65</v>
      </c>
      <c r="AI69" s="89">
        <f>(AH69/AG69)</f>
        <v>0.65</v>
      </c>
      <c r="AJ69" s="314" t="s">
        <v>490</v>
      </c>
      <c r="AK69" s="84"/>
      <c r="AL69" s="85" t="str">
        <f t="shared" si="18"/>
        <v>Cumplimiento del plan de actualización de los procesos en el marco del Sistema de Gestión</v>
      </c>
      <c r="AM69" s="94">
        <f t="shared" si="19"/>
        <v>1</v>
      </c>
      <c r="AN69" s="92">
        <v>0.74</v>
      </c>
      <c r="AO69" s="89">
        <f>(AN69/AM69)</f>
        <v>0.74</v>
      </c>
      <c r="AP69" s="314" t="s">
        <v>491</v>
      </c>
      <c r="AQ69" s="84"/>
      <c r="AR69" s="85" t="str">
        <f t="shared" si="4"/>
        <v>Cumplimiento del plan de actualización de los procesos en el marco del Sistema de Gestión</v>
      </c>
      <c r="AS69" s="94">
        <f t="shared" si="5"/>
        <v>1</v>
      </c>
      <c r="AT69" s="86">
        <v>1</v>
      </c>
      <c r="AU69" s="444">
        <f t="shared" si="20"/>
        <v>1</v>
      </c>
      <c r="AV69" s="321" t="s">
        <v>591</v>
      </c>
      <c r="AW69" s="85" t="s">
        <v>486</v>
      </c>
      <c r="AX69" s="85" t="str">
        <f t="shared" si="6"/>
        <v>Cumplimiento del plan de actualización de los procesos en el marco del Sistema de Gestión</v>
      </c>
      <c r="AY69" s="85">
        <v>1</v>
      </c>
      <c r="AZ69" s="94">
        <v>1</v>
      </c>
      <c r="BA69" s="93">
        <v>1</v>
      </c>
      <c r="BB69" s="336">
        <f t="shared" si="21"/>
        <v>0.02</v>
      </c>
      <c r="BC69" s="114"/>
    </row>
    <row r="70" spans="1:55" ht="77.25" thickBot="1">
      <c r="A70" s="196">
        <v>45</v>
      </c>
      <c r="B70" s="433"/>
      <c r="C70" s="388"/>
      <c r="D70" s="225" t="s">
        <v>492</v>
      </c>
      <c r="E70" s="247">
        <v>0.02</v>
      </c>
      <c r="F70" s="237" t="s">
        <v>460</v>
      </c>
      <c r="G70" s="79" t="s">
        <v>493</v>
      </c>
      <c r="H70" s="80" t="s">
        <v>494</v>
      </c>
      <c r="I70" s="81" t="s">
        <v>63</v>
      </c>
      <c r="J70" s="82" t="s">
        <v>107</v>
      </c>
      <c r="K70" s="81" t="s">
        <v>495</v>
      </c>
      <c r="L70" s="83">
        <v>1</v>
      </c>
      <c r="M70" s="83">
        <v>1</v>
      </c>
      <c r="N70" s="83">
        <v>1</v>
      </c>
      <c r="O70" s="83">
        <v>1</v>
      </c>
      <c r="P70" s="83">
        <v>1</v>
      </c>
      <c r="Q70" s="81" t="s">
        <v>59</v>
      </c>
      <c r="R70" s="81" t="s">
        <v>496</v>
      </c>
      <c r="S70" s="81" t="s">
        <v>497</v>
      </c>
      <c r="T70" s="81"/>
      <c r="U70" s="81"/>
      <c r="V70" s="81"/>
      <c r="W70" s="81"/>
      <c r="X70" s="95"/>
      <c r="Y70" s="96"/>
      <c r="Z70" s="85" t="str">
        <f t="shared" si="0"/>
        <v>Cumplimiento oportuno Plan Anticorrupción 2017</v>
      </c>
      <c r="AA70" s="94">
        <f t="shared" si="16"/>
        <v>1</v>
      </c>
      <c r="AB70" s="92">
        <v>1</v>
      </c>
      <c r="AC70" s="89">
        <f>(AB70/AA70)</f>
        <v>1</v>
      </c>
      <c r="AD70" s="90"/>
      <c r="AE70" s="90"/>
      <c r="AF70" s="85" t="str">
        <f t="shared" si="1"/>
        <v>Cumplimiento oportuno Plan Anticorrupción 2017</v>
      </c>
      <c r="AG70" s="94">
        <f t="shared" si="17"/>
        <v>1</v>
      </c>
      <c r="AH70" s="329">
        <v>0.88</v>
      </c>
      <c r="AI70" s="89">
        <f>(AH70/AG70)</f>
        <v>0.88</v>
      </c>
      <c r="AJ70" s="84" t="s">
        <v>498</v>
      </c>
      <c r="AK70" s="84"/>
      <c r="AL70" s="85" t="str">
        <f t="shared" si="18"/>
        <v>Cumplimiento oportuno Plan Anticorrupción 2017</v>
      </c>
      <c r="AM70" s="94">
        <f t="shared" si="19"/>
        <v>1</v>
      </c>
      <c r="AN70" s="92">
        <v>0.67</v>
      </c>
      <c r="AO70" s="89">
        <f>(AN70/AM70)</f>
        <v>0.67</v>
      </c>
      <c r="AP70" s="84" t="s">
        <v>499</v>
      </c>
      <c r="AQ70" s="84"/>
      <c r="AR70" s="85" t="str">
        <f t="shared" si="4"/>
        <v>Cumplimiento oportuno Plan Anticorrupción 2017</v>
      </c>
      <c r="AS70" s="94">
        <f t="shared" si="5"/>
        <v>1</v>
      </c>
      <c r="AT70" s="92">
        <v>1</v>
      </c>
      <c r="AU70" s="444">
        <f t="shared" si="20"/>
        <v>1</v>
      </c>
      <c r="AV70" s="321" t="s">
        <v>592</v>
      </c>
      <c r="AW70" s="85" t="s">
        <v>493</v>
      </c>
      <c r="AX70" s="85" t="str">
        <f t="shared" si="6"/>
        <v>Cumplimiento oportuno Plan Anticorrupción 2017</v>
      </c>
      <c r="AY70" s="85">
        <v>1</v>
      </c>
      <c r="AZ70" s="94">
        <v>1</v>
      </c>
      <c r="BA70" s="93">
        <v>1</v>
      </c>
      <c r="BB70" s="336">
        <f t="shared" si="21"/>
        <v>0.02</v>
      </c>
      <c r="BC70" s="114"/>
    </row>
    <row r="71" spans="1:55" ht="112.5" customHeight="1" thickBot="1">
      <c r="A71" s="123"/>
      <c r="B71" s="441" t="s">
        <v>500</v>
      </c>
      <c r="C71" s="442"/>
      <c r="D71" s="442"/>
      <c r="E71" s="122">
        <f>SUM(E64:E70,E63,E61,E55,E45,E33,E27,E23,E20,E57)</f>
        <v>0.99</v>
      </c>
      <c r="F71" s="238"/>
      <c r="G71" s="126"/>
      <c r="H71" s="127"/>
      <c r="I71" s="127"/>
      <c r="J71" s="127"/>
      <c r="K71" s="127"/>
      <c r="L71" s="127"/>
      <c r="M71" s="127"/>
      <c r="N71" s="127"/>
      <c r="O71" s="127"/>
      <c r="P71" s="128"/>
      <c r="Q71" s="127"/>
      <c r="R71" s="127"/>
      <c r="S71" s="127"/>
      <c r="T71" s="127"/>
      <c r="U71" s="127"/>
      <c r="V71" s="127"/>
      <c r="W71" s="127"/>
      <c r="X71" s="127"/>
      <c r="Y71" s="127"/>
      <c r="Z71" s="434" t="s">
        <v>501</v>
      </c>
      <c r="AA71" s="434"/>
      <c r="AB71" s="434"/>
      <c r="AC71" s="331">
        <f>AVERAGE(AC17:AC70)</f>
        <v>0.90121847614396888</v>
      </c>
      <c r="AD71" s="90"/>
      <c r="AE71" s="90"/>
      <c r="AF71" s="434" t="s">
        <v>502</v>
      </c>
      <c r="AG71" s="434"/>
      <c r="AH71" s="434"/>
      <c r="AI71" s="331">
        <f>AVERAGE(AI17:AI70)</f>
        <v>0.80217631437008641</v>
      </c>
      <c r="AJ71" s="129"/>
      <c r="AK71" s="127"/>
      <c r="AL71" s="430" t="s">
        <v>503</v>
      </c>
      <c r="AM71" s="430"/>
      <c r="AN71" s="430"/>
      <c r="AO71" s="129">
        <f>AVERAGE(AO17:AO70)</f>
        <v>0.76412743250181669</v>
      </c>
      <c r="AP71" s="129"/>
      <c r="AQ71" s="130"/>
      <c r="AR71" s="406" t="s">
        <v>504</v>
      </c>
      <c r="AS71" s="406"/>
      <c r="AT71" s="406"/>
      <c r="AU71" s="129">
        <f>AVERAGE(AU17:AU70)</f>
        <v>0.78968548556529505</v>
      </c>
      <c r="AV71" s="129"/>
      <c r="AW71" s="409" t="s">
        <v>505</v>
      </c>
      <c r="AX71" s="410"/>
      <c r="AY71" s="411"/>
      <c r="AZ71" s="131">
        <f>SUM(BB63,BB61,BB57,BB55,BB45,BB33,BB27,BB23,BB20,BB64:BB70)</f>
        <v>0.89361973834157349</v>
      </c>
      <c r="BA71" s="131"/>
      <c r="BB71" s="337"/>
      <c r="BC71" s="132"/>
    </row>
    <row r="72" spans="1:55" ht="15.75" customHeight="1">
      <c r="A72" s="4"/>
      <c r="B72" s="7"/>
      <c r="C72" s="7"/>
      <c r="D72" s="7"/>
      <c r="E72" s="7"/>
      <c r="F72" s="7"/>
      <c r="G72" s="7"/>
      <c r="H72" s="8"/>
      <c r="I72" s="8"/>
      <c r="J72" s="8"/>
      <c r="K72" s="8"/>
      <c r="L72" s="8"/>
      <c r="M72" s="8"/>
      <c r="N72" s="8"/>
      <c r="O72" s="8"/>
      <c r="P72" s="8"/>
      <c r="Q72" s="8"/>
      <c r="R72" s="8"/>
      <c r="S72" s="1"/>
      <c r="T72" s="1"/>
      <c r="U72" s="1"/>
      <c r="V72" s="1"/>
      <c r="W72" s="1"/>
      <c r="X72" s="1"/>
      <c r="Y72" s="1"/>
      <c r="Z72" s="364"/>
      <c r="AA72" s="364"/>
      <c r="AB72" s="364"/>
      <c r="AC72" s="50"/>
      <c r="AD72" s="11"/>
      <c r="AE72" s="11"/>
      <c r="AF72" s="364"/>
      <c r="AG72" s="364"/>
      <c r="AH72" s="364"/>
      <c r="AI72" s="50"/>
      <c r="AJ72" s="11"/>
      <c r="AK72" s="11"/>
      <c r="AL72" s="364"/>
      <c r="AM72" s="364"/>
      <c r="AN72" s="364"/>
      <c r="AO72" s="50"/>
      <c r="AP72" s="11"/>
      <c r="AQ72" s="11"/>
      <c r="AR72" s="364"/>
      <c r="AS72" s="364"/>
      <c r="AT72" s="364"/>
      <c r="AU72" s="50"/>
      <c r="AV72" s="11"/>
      <c r="AW72" s="11"/>
      <c r="AX72" s="364"/>
      <c r="AY72" s="364"/>
      <c r="AZ72" s="364"/>
      <c r="BA72" s="50"/>
      <c r="BB72" s="50"/>
      <c r="BC72" s="11"/>
    </row>
    <row r="73" spans="1:55" ht="15.75" customHeight="1" thickBot="1">
      <c r="A73" s="4"/>
      <c r="B73" s="7"/>
      <c r="C73" s="7"/>
      <c r="D73" s="7"/>
      <c r="E73" s="7"/>
      <c r="F73" s="7"/>
      <c r="G73" s="7"/>
      <c r="H73" s="8"/>
      <c r="I73" s="8"/>
      <c r="J73" s="8"/>
      <c r="K73" s="8"/>
      <c r="L73" s="8"/>
      <c r="M73" s="8"/>
      <c r="N73" s="8"/>
      <c r="O73" s="8"/>
      <c r="P73" s="8"/>
      <c r="Q73" s="8"/>
      <c r="R73" s="8"/>
      <c r="S73" s="1"/>
      <c r="T73" s="1"/>
      <c r="U73" s="1"/>
      <c r="V73" s="1"/>
      <c r="W73" s="1"/>
      <c r="X73" s="1"/>
      <c r="Y73" s="1"/>
      <c r="Z73" s="364"/>
      <c r="AA73" s="364"/>
      <c r="AB73" s="364"/>
      <c r="AC73" s="72"/>
      <c r="AD73" s="11"/>
      <c r="AE73" s="11"/>
      <c r="AF73" s="364"/>
      <c r="AG73" s="364"/>
      <c r="AH73" s="364"/>
      <c r="AI73" s="72"/>
      <c r="AJ73" s="11"/>
      <c r="AK73" s="11"/>
      <c r="AL73" s="364"/>
      <c r="AM73" s="364"/>
      <c r="AN73" s="364"/>
      <c r="AO73" s="73"/>
      <c r="AP73" s="11"/>
      <c r="AQ73" s="11"/>
      <c r="AR73" s="364"/>
      <c r="AS73" s="364"/>
      <c r="AT73" s="364"/>
      <c r="AU73" s="73"/>
      <c r="AV73" s="11"/>
      <c r="AW73" s="11"/>
      <c r="AX73" s="364"/>
      <c r="AY73" s="364"/>
      <c r="AZ73" s="364"/>
      <c r="BA73" s="73"/>
      <c r="BB73" s="73"/>
      <c r="BC73" s="11"/>
    </row>
    <row r="74" spans="1:55" ht="15.75" customHeight="1">
      <c r="A74" s="4"/>
      <c r="B74" s="424" t="s">
        <v>506</v>
      </c>
      <c r="C74" s="425"/>
      <c r="D74" s="426"/>
      <c r="E74" s="70"/>
      <c r="F74" s="376" t="s">
        <v>507</v>
      </c>
      <c r="G74" s="377"/>
      <c r="H74" s="377"/>
      <c r="I74" s="378"/>
      <c r="J74" s="376" t="s">
        <v>508</v>
      </c>
      <c r="K74" s="377"/>
      <c r="L74" s="377"/>
      <c r="M74" s="377"/>
      <c r="N74" s="377"/>
      <c r="O74" s="377"/>
      <c r="P74" s="378"/>
      <c r="Q74" s="8"/>
      <c r="R74" s="8"/>
      <c r="S74" s="1"/>
      <c r="T74" s="1"/>
      <c r="U74" s="1"/>
      <c r="V74" s="1"/>
      <c r="W74" s="1"/>
      <c r="X74" s="1"/>
      <c r="Y74" s="1"/>
      <c r="Z74" s="364"/>
      <c r="AA74" s="364"/>
      <c r="AB74" s="364"/>
      <c r="AC74" s="72"/>
      <c r="AD74" s="11"/>
      <c r="AE74" s="11"/>
      <c r="AF74" s="364"/>
      <c r="AG74" s="364"/>
      <c r="AH74" s="364"/>
      <c r="AI74" s="72"/>
      <c r="AJ74" s="11"/>
      <c r="AK74" s="11"/>
      <c r="AL74" s="364"/>
      <c r="AM74" s="364"/>
      <c r="AN74" s="364"/>
      <c r="AO74" s="73"/>
      <c r="AP74" s="11"/>
      <c r="AQ74" s="11"/>
      <c r="AR74" s="364"/>
      <c r="AS74" s="364"/>
      <c r="AT74" s="364"/>
      <c r="AU74" s="73"/>
      <c r="AV74" s="11"/>
      <c r="AW74" s="11"/>
      <c r="AX74" s="364"/>
      <c r="AY74" s="364"/>
      <c r="AZ74" s="364"/>
      <c r="BA74" s="73"/>
      <c r="BB74" s="73"/>
      <c r="BC74" s="11"/>
    </row>
    <row r="75" spans="1:55" ht="51" customHeight="1">
      <c r="A75" s="4"/>
      <c r="B75" s="416" t="s">
        <v>509</v>
      </c>
      <c r="C75" s="417"/>
      <c r="D75" s="49"/>
      <c r="E75" s="352"/>
      <c r="F75" s="394" t="s">
        <v>509</v>
      </c>
      <c r="G75" s="395"/>
      <c r="H75" s="395"/>
      <c r="I75" s="396"/>
      <c r="J75" s="394" t="s">
        <v>509</v>
      </c>
      <c r="K75" s="395"/>
      <c r="L75" s="395"/>
      <c r="M75" s="395"/>
      <c r="N75" s="395"/>
      <c r="O75" s="395"/>
      <c r="P75" s="396"/>
      <c r="Q75" s="8"/>
      <c r="R75" s="8"/>
      <c r="S75" s="1"/>
      <c r="T75" s="1"/>
      <c r="U75" s="1"/>
      <c r="V75" s="1"/>
      <c r="W75" s="1"/>
      <c r="X75" s="1"/>
      <c r="Y75" s="1"/>
      <c r="Z75" s="363"/>
      <c r="AA75" s="363"/>
      <c r="AB75" s="363"/>
      <c r="AC75" s="50"/>
      <c r="AD75" s="11"/>
      <c r="AE75" s="11"/>
      <c r="AF75" s="363"/>
      <c r="AG75" s="363"/>
      <c r="AH75" s="363"/>
      <c r="AI75" s="50"/>
      <c r="AJ75" s="11"/>
      <c r="AK75" s="11"/>
      <c r="AL75" s="363"/>
      <c r="AM75" s="363"/>
      <c r="AN75" s="363"/>
      <c r="AO75" s="50"/>
      <c r="AP75" s="11"/>
      <c r="AQ75" s="11"/>
      <c r="AR75" s="363"/>
      <c r="AS75" s="363"/>
      <c r="AT75" s="363"/>
      <c r="AU75" s="50"/>
      <c r="AV75" s="11"/>
      <c r="AW75" s="11"/>
      <c r="AX75" s="363"/>
      <c r="AY75" s="363"/>
      <c r="AZ75" s="363"/>
      <c r="BA75" s="50"/>
      <c r="BB75" s="50"/>
      <c r="BC75" s="11"/>
    </row>
    <row r="76" spans="1:55" ht="22.5" customHeight="1">
      <c r="A76" s="4"/>
      <c r="B76" s="374" t="s">
        <v>510</v>
      </c>
      <c r="C76" s="375"/>
      <c r="D76" s="350"/>
      <c r="E76" s="349"/>
      <c r="F76" s="376" t="s">
        <v>511</v>
      </c>
      <c r="G76" s="377"/>
      <c r="H76" s="377"/>
      <c r="I76" s="378"/>
      <c r="J76" s="376" t="s">
        <v>512</v>
      </c>
      <c r="K76" s="377"/>
      <c r="L76" s="377"/>
      <c r="M76" s="377"/>
      <c r="N76" s="377"/>
      <c r="O76" s="377"/>
      <c r="P76" s="378"/>
      <c r="Q76" s="8"/>
      <c r="R76" s="8"/>
      <c r="S76" s="1"/>
      <c r="T76" s="1"/>
      <c r="U76" s="1"/>
      <c r="V76" s="1"/>
      <c r="W76" s="1"/>
      <c r="X76" s="1"/>
      <c r="Y76" s="1"/>
      <c r="Z76" s="1"/>
      <c r="AA76" s="1"/>
      <c r="AB76" s="1"/>
      <c r="AC76" s="9"/>
      <c r="AD76" s="1"/>
      <c r="AE76" s="1"/>
      <c r="AF76" s="1"/>
      <c r="AG76" s="1"/>
      <c r="AH76" s="1"/>
      <c r="AI76" s="9"/>
      <c r="AJ76" s="1"/>
      <c r="AK76" s="1"/>
      <c r="AL76" s="1"/>
      <c r="AM76" s="1"/>
      <c r="AN76" s="1"/>
      <c r="AO76" s="9"/>
      <c r="AP76" s="1"/>
      <c r="AQ76" s="1"/>
      <c r="AR76" s="1"/>
      <c r="AS76" s="1"/>
      <c r="AT76" s="1"/>
      <c r="AU76" s="9"/>
      <c r="AV76" s="1"/>
      <c r="AW76" s="1"/>
      <c r="AX76" s="1"/>
      <c r="AY76" s="1"/>
      <c r="AZ76" s="1"/>
      <c r="BA76" s="9"/>
      <c r="BB76" s="9"/>
      <c r="BC76" s="1"/>
    </row>
    <row r="77" spans="1:55">
      <c r="A77" s="4"/>
      <c r="B77" s="374"/>
      <c r="C77" s="375"/>
      <c r="D77" s="350"/>
      <c r="E77" s="349"/>
      <c r="F77" s="376"/>
      <c r="G77" s="377"/>
      <c r="H77" s="377"/>
      <c r="I77" s="378"/>
      <c r="J77" s="374"/>
      <c r="K77" s="375"/>
      <c r="L77" s="375"/>
      <c r="M77" s="375"/>
      <c r="N77" s="375"/>
      <c r="O77" s="375"/>
      <c r="P77" s="379"/>
      <c r="Q77" s="8"/>
      <c r="R77" s="8"/>
      <c r="S77" s="1"/>
      <c r="T77" s="1"/>
      <c r="U77" s="1"/>
      <c r="V77" s="1"/>
      <c r="W77" s="1"/>
      <c r="X77" s="1"/>
      <c r="Y77" s="1"/>
      <c r="Z77" s="1"/>
      <c r="AA77" s="1"/>
      <c r="AB77" s="1"/>
      <c r="AC77" s="9"/>
      <c r="AD77" s="1"/>
      <c r="AE77" s="1"/>
      <c r="AF77" s="1"/>
      <c r="AG77" s="1"/>
      <c r="AH77" s="1"/>
      <c r="AI77" s="9"/>
      <c r="AJ77" s="1"/>
      <c r="AK77" s="1"/>
      <c r="AL77" s="1"/>
      <c r="AM77" s="1"/>
      <c r="AN77" s="1"/>
      <c r="AO77" s="9"/>
      <c r="AP77" s="1"/>
      <c r="AQ77" s="1"/>
      <c r="AR77" s="1"/>
      <c r="AS77" s="1"/>
      <c r="AT77" s="1"/>
      <c r="AU77" s="9"/>
      <c r="AV77" s="1"/>
      <c r="AW77" s="1"/>
      <c r="AX77" s="1"/>
      <c r="AY77" s="1"/>
      <c r="AZ77" s="1"/>
      <c r="BA77" s="9"/>
      <c r="BB77" s="9"/>
      <c r="BC77" s="1"/>
    </row>
    <row r="82" spans="1:3" ht="48.75" customHeight="1">
      <c r="A82" s="59"/>
    </row>
    <row r="83" spans="1:3" ht="36.75" customHeight="1">
      <c r="A83" s="61"/>
      <c r="B83" s="99" t="s">
        <v>513</v>
      </c>
      <c r="C83" s="66"/>
    </row>
    <row r="84" spans="1:3" ht="15.75">
      <c r="A84" s="60"/>
      <c r="B84" s="63" t="s">
        <v>49</v>
      </c>
      <c r="C84" s="97"/>
    </row>
    <row r="85" spans="1:3" ht="15.75">
      <c r="A85" s="60"/>
      <c r="B85" s="64"/>
      <c r="C85" s="98"/>
    </row>
    <row r="86" spans="1:3" ht="15.75">
      <c r="A86" s="60"/>
      <c r="B86" s="65"/>
      <c r="C86" s="98"/>
    </row>
    <row r="87" spans="1:3" ht="15.75">
      <c r="A87" s="60"/>
      <c r="B87" s="64"/>
      <c r="C87" s="98"/>
    </row>
    <row r="88" spans="1:3" ht="15.75">
      <c r="A88" s="60"/>
      <c r="B88" s="65"/>
      <c r="C88" s="98"/>
    </row>
    <row r="89" spans="1:3" ht="15.75">
      <c r="A89" s="60"/>
      <c r="B89" s="64"/>
      <c r="C89" s="98"/>
    </row>
    <row r="90" spans="1:3" ht="15.75">
      <c r="A90" s="60"/>
      <c r="B90" s="65"/>
      <c r="C90" s="98"/>
    </row>
    <row r="91" spans="1:3" ht="15.75">
      <c r="A91" s="60"/>
      <c r="B91" s="64"/>
      <c r="C91" s="98"/>
    </row>
    <row r="92" spans="1:3" ht="15.75">
      <c r="A92" s="60"/>
      <c r="B92" s="65"/>
      <c r="C92" s="98"/>
    </row>
    <row r="93" spans="1:3" ht="15.75">
      <c r="A93" s="60"/>
      <c r="B93" s="64"/>
      <c r="C93" s="98"/>
    </row>
    <row r="94" spans="1:3" ht="15.75">
      <c r="A94" s="60"/>
      <c r="B94" s="65"/>
      <c r="C94" s="98"/>
    </row>
    <row r="95" spans="1:3" ht="15.75">
      <c r="A95" s="60"/>
      <c r="B95" s="64"/>
      <c r="C95" s="98"/>
    </row>
    <row r="96" spans="1:3" ht="15.75">
      <c r="A96" s="60"/>
      <c r="B96" s="65"/>
      <c r="C96" s="98"/>
    </row>
    <row r="97" spans="1:3" ht="15.75">
      <c r="A97" s="60"/>
      <c r="B97" s="64"/>
      <c r="C97" s="98"/>
    </row>
    <row r="98" spans="1:3" ht="15.75">
      <c r="A98" s="60"/>
      <c r="B98" s="65"/>
      <c r="C98" s="98"/>
    </row>
    <row r="99" spans="1:3" ht="15.75">
      <c r="A99" s="60"/>
      <c r="B99" s="64"/>
      <c r="C99" s="98"/>
    </row>
    <row r="100" spans="1:3" ht="15.75">
      <c r="A100" s="60"/>
      <c r="B100" s="65"/>
      <c r="C100" s="98"/>
    </row>
    <row r="101" spans="1:3" ht="15.75">
      <c r="A101" s="60"/>
      <c r="B101" s="64"/>
      <c r="C101" s="98"/>
    </row>
    <row r="102" spans="1:3" ht="15.75">
      <c r="A102" s="59"/>
      <c r="B102" s="65"/>
      <c r="C102" s="98"/>
    </row>
    <row r="103" spans="1:3" ht="15.75">
      <c r="A103" s="59"/>
      <c r="B103" s="64"/>
      <c r="C103" s="98"/>
    </row>
    <row r="104" spans="1:3">
      <c r="A104" s="59"/>
    </row>
  </sheetData>
  <mergeCells count="105">
    <mergeCell ref="B64:B70"/>
    <mergeCell ref="AF71:AH71"/>
    <mergeCell ref="B17:B63"/>
    <mergeCell ref="Z72:AB72"/>
    <mergeCell ref="C15:C16"/>
    <mergeCell ref="Z71:AB71"/>
    <mergeCell ref="AE14:AE15"/>
    <mergeCell ref="AF14:AH14"/>
    <mergeCell ref="B71:D71"/>
    <mergeCell ref="AR14:AT14"/>
    <mergeCell ref="C34:C45"/>
    <mergeCell ref="AW71:AY71"/>
    <mergeCell ref="D12:Y13"/>
    <mergeCell ref="AX75:AZ75"/>
    <mergeCell ref="AX73:AZ73"/>
    <mergeCell ref="AR73:AT73"/>
    <mergeCell ref="AL73:AN73"/>
    <mergeCell ref="AF73:AH73"/>
    <mergeCell ref="Z73:AB73"/>
    <mergeCell ref="AI14:AI15"/>
    <mergeCell ref="Z14:AB14"/>
    <mergeCell ref="B75:C75"/>
    <mergeCell ref="D14:S14"/>
    <mergeCell ref="C58:C61"/>
    <mergeCell ref="C62:C63"/>
    <mergeCell ref="C64:C70"/>
    <mergeCell ref="C56:C57"/>
    <mergeCell ref="B74:D74"/>
    <mergeCell ref="J75:P75"/>
    <mergeCell ref="C28:C33"/>
    <mergeCell ref="C46:C55"/>
    <mergeCell ref="AL71:AN71"/>
    <mergeCell ref="AF72:AH72"/>
    <mergeCell ref="AL7:AQ7"/>
    <mergeCell ref="F75:I75"/>
    <mergeCell ref="AX74:AZ74"/>
    <mergeCell ref="A1:Y1"/>
    <mergeCell ref="A2:Y2"/>
    <mergeCell ref="AL72:AN72"/>
    <mergeCell ref="AR72:AT72"/>
    <mergeCell ref="AX72:AZ72"/>
    <mergeCell ref="AW14:AW15"/>
    <mergeCell ref="AO14:AO15"/>
    <mergeCell ref="AP14:AP15"/>
    <mergeCell ref="U14:Y14"/>
    <mergeCell ref="AU14:AU15"/>
    <mergeCell ref="AJ14:AJ15"/>
    <mergeCell ref="AK14:AK15"/>
    <mergeCell ref="AX14:AZ14"/>
    <mergeCell ref="AL14:AN14"/>
    <mergeCell ref="D9:S9"/>
    <mergeCell ref="D10:K10"/>
    <mergeCell ref="L10:O10"/>
    <mergeCell ref="AX10:AZ10"/>
    <mergeCell ref="AF13:AK13"/>
    <mergeCell ref="AL74:AN74"/>
    <mergeCell ref="F74:I74"/>
    <mergeCell ref="AL10:AN10"/>
    <mergeCell ref="AR12:AW12"/>
    <mergeCell ref="Z10:AB10"/>
    <mergeCell ref="AF12:AK12"/>
    <mergeCell ref="AL12:AQ12"/>
    <mergeCell ref="Z13:AE13"/>
    <mergeCell ref="B77:C77"/>
    <mergeCell ref="F77:I77"/>
    <mergeCell ref="J77:P77"/>
    <mergeCell ref="J76:P76"/>
    <mergeCell ref="F76:I76"/>
    <mergeCell ref="B76:C76"/>
    <mergeCell ref="Z74:AB74"/>
    <mergeCell ref="AF74:AH74"/>
    <mergeCell ref="A12:B14"/>
    <mergeCell ref="C17:C20"/>
    <mergeCell ref="W15:X15"/>
    <mergeCell ref="C21:C23"/>
    <mergeCell ref="C24:C27"/>
    <mergeCell ref="Z75:AB75"/>
    <mergeCell ref="J74:P74"/>
    <mergeCell ref="AR71:AT71"/>
    <mergeCell ref="AC14:AC15"/>
    <mergeCell ref="AD14:AD15"/>
    <mergeCell ref="BA14:BA15"/>
    <mergeCell ref="BC14:BC15"/>
    <mergeCell ref="AV14:AV15"/>
    <mergeCell ref="Z7:AE7"/>
    <mergeCell ref="AX12:BC12"/>
    <mergeCell ref="AF75:AH75"/>
    <mergeCell ref="AL75:AN75"/>
    <mergeCell ref="AR75:AT75"/>
    <mergeCell ref="AR74:AT74"/>
    <mergeCell ref="AQ14:AQ15"/>
    <mergeCell ref="AX7:BC7"/>
    <mergeCell ref="Z8:AE8"/>
    <mergeCell ref="AF8:AK8"/>
    <mergeCell ref="AL8:AQ8"/>
    <mergeCell ref="AR8:AW8"/>
    <mergeCell ref="AX8:BC8"/>
    <mergeCell ref="AL13:AQ13"/>
    <mergeCell ref="AR13:AW13"/>
    <mergeCell ref="AX13:BC13"/>
    <mergeCell ref="AR10:AT10"/>
    <mergeCell ref="AF10:AH10"/>
    <mergeCell ref="Z12:AE12"/>
    <mergeCell ref="AR7:AW7"/>
    <mergeCell ref="AF7:AK7"/>
  </mergeCells>
  <conditionalFormatting sqref="AO74:AO75 AU74:AU75 BA74:BB75 AI74:AI75 AC74:AC75 AC71:AD71 AI71:AJ71 AO71:AP71 AU71:AV71 AC55 AI54:AI55 AC57 AI57:AI61 AC61 AI63:AI72 AC39 AC41:AC52 AI17:AI52 AC17:AC37 AO17 AO20 AO22:AO25 AO27:AO34 AO36 AO39:AO46 AO48:AO55 AO57:AO72 AC63:AC72 AU71:AU72 AZ71:BC71 BA17:BB72">
    <cfRule type="containsText" dxfId="129" priority="497" operator="containsText" text="N/A">
      <formula>NOT(ISERROR(SEARCH("N/A",AC17)))</formula>
    </cfRule>
    <cfRule type="cellIs" dxfId="128" priority="498" operator="between">
      <formula>#REF!</formula>
      <formula>#REF!</formula>
    </cfRule>
    <cfRule type="cellIs" dxfId="127" priority="499" operator="between">
      <formula>#REF!</formula>
      <formula>#REF!</formula>
    </cfRule>
    <cfRule type="cellIs" dxfId="126" priority="500" operator="between">
      <formula>#REF!</formula>
      <formula>#REF!</formula>
    </cfRule>
  </conditionalFormatting>
  <conditionalFormatting sqref="AO75 AO72 AU75 AU72 BA75:BB75 BA72:BB72 AI75 AI72 AC75 AC72">
    <cfRule type="containsText" dxfId="125" priority="561" operator="containsText" text="N/A">
      <formula>NOT(ISERROR(SEARCH("N/A",AC72)))</formula>
    </cfRule>
    <cfRule type="cellIs" dxfId="124" priority="562" operator="between">
      <formula>$B$13</formula>
      <formula>#REF!</formula>
    </cfRule>
    <cfRule type="cellIs" dxfId="123" priority="563" operator="between">
      <formula>$B$11</formula>
      <formula>#REF!</formula>
    </cfRule>
    <cfRule type="cellIs" dxfId="122" priority="564" operator="between">
      <formula>#REF!</formula>
      <formula>#REF!</formula>
    </cfRule>
  </conditionalFormatting>
  <conditionalFormatting sqref="BA72:BB72 AO72 AO75 AU72 AU75 BA75:BB75 AI72 AI75 AC72 AC75">
    <cfRule type="containsText" dxfId="121" priority="601" operator="containsText" text="N/A">
      <formula>NOT(ISERROR(SEARCH("N/A",AC72)))</formula>
    </cfRule>
    <cfRule type="cellIs" dxfId="120" priority="602" operator="between">
      <formula>#REF!</formula>
      <formula>#REF!</formula>
    </cfRule>
    <cfRule type="cellIs" dxfId="119" priority="603" operator="between">
      <formula>$B$11</formula>
      <formula>#REF!</formula>
    </cfRule>
    <cfRule type="cellIs" dxfId="118" priority="604" operator="between">
      <formula>#REF!</formula>
      <formula>#REF!</formula>
    </cfRule>
  </conditionalFormatting>
  <conditionalFormatting sqref="AD71">
    <cfRule type="colorScale" priority="276">
      <colorScale>
        <cfvo type="min"/>
        <cfvo type="percentile" val="50"/>
        <cfvo type="max"/>
        <color rgb="FFF8696B"/>
        <color rgb="FFFFEB84"/>
        <color rgb="FF63BE7B"/>
      </colorScale>
    </cfRule>
  </conditionalFormatting>
  <conditionalFormatting sqref="AJ71">
    <cfRule type="colorScale" priority="275">
      <colorScale>
        <cfvo type="min"/>
        <cfvo type="percentile" val="50"/>
        <cfvo type="max"/>
        <color rgb="FFF8696B"/>
        <color rgb="FFFFEB84"/>
        <color rgb="FF63BE7B"/>
      </colorScale>
    </cfRule>
  </conditionalFormatting>
  <conditionalFormatting sqref="AP71">
    <cfRule type="colorScale" priority="274">
      <colorScale>
        <cfvo type="min"/>
        <cfvo type="percentile" val="50"/>
        <cfvo type="max"/>
        <color rgb="FFF8696B"/>
        <color rgb="FFFFEB84"/>
        <color rgb="FF63BE7B"/>
      </colorScale>
    </cfRule>
  </conditionalFormatting>
  <conditionalFormatting sqref="AV71">
    <cfRule type="colorScale" priority="273">
      <colorScale>
        <cfvo type="min"/>
        <cfvo type="percentile" val="50"/>
        <cfvo type="max"/>
        <color rgb="FFF8696B"/>
        <color rgb="FFFFEB84"/>
        <color rgb="FF63BE7B"/>
      </colorScale>
    </cfRule>
  </conditionalFormatting>
  <conditionalFormatting sqref="BA71:BB71">
    <cfRule type="colorScale" priority="272">
      <colorScale>
        <cfvo type="min"/>
        <cfvo type="percentile" val="50"/>
        <cfvo type="max"/>
        <color rgb="FFF8696B"/>
        <color rgb="FFFFEB84"/>
        <color rgb="FF63BE7B"/>
      </colorScale>
    </cfRule>
  </conditionalFormatting>
  <conditionalFormatting sqref="AC71">
    <cfRule type="colorScale" priority="263">
      <colorScale>
        <cfvo type="min"/>
        <cfvo type="percentile" val="50"/>
        <cfvo type="max"/>
        <color rgb="FFF8696B"/>
        <color rgb="FFFFEB84"/>
        <color rgb="FF63BE7B"/>
      </colorScale>
    </cfRule>
  </conditionalFormatting>
  <conditionalFormatting sqref="AI71">
    <cfRule type="colorScale" priority="254">
      <colorScale>
        <cfvo type="min"/>
        <cfvo type="percentile" val="50"/>
        <cfvo type="max"/>
        <color rgb="FFF8696B"/>
        <color rgb="FFFFEB84"/>
        <color rgb="FF63BE7B"/>
      </colorScale>
    </cfRule>
  </conditionalFormatting>
  <conditionalFormatting sqref="AO71">
    <cfRule type="colorScale" priority="245">
      <colorScale>
        <cfvo type="min"/>
        <cfvo type="percentile" val="50"/>
        <cfvo type="max"/>
        <color rgb="FFF8696B"/>
        <color rgb="FFFFEB84"/>
        <color rgb="FF63BE7B"/>
      </colorScale>
    </cfRule>
  </conditionalFormatting>
  <conditionalFormatting sqref="AU71">
    <cfRule type="colorScale" priority="236">
      <colorScale>
        <cfvo type="min"/>
        <cfvo type="percentile" val="50"/>
        <cfvo type="max"/>
        <color rgb="FFF8696B"/>
        <color rgb="FFFFEB84"/>
        <color rgb="FF63BE7B"/>
      </colorScale>
    </cfRule>
  </conditionalFormatting>
  <conditionalFormatting sqref="AZ71">
    <cfRule type="colorScale" priority="224">
      <colorScale>
        <cfvo type="min"/>
        <cfvo type="percentile" val="50"/>
        <cfvo type="max"/>
        <color rgb="FF63BE7B"/>
        <color rgb="FFFFEB84"/>
        <color rgb="FFF8696B"/>
      </colorScale>
    </cfRule>
  </conditionalFormatting>
  <conditionalFormatting sqref="AC53">
    <cfRule type="containsText" dxfId="117" priority="200" operator="containsText" text="N/A">
      <formula>NOT(ISERROR(SEARCH("N/A",AC53)))</formula>
    </cfRule>
    <cfRule type="cellIs" dxfId="116" priority="201" operator="between">
      <formula>#REF!</formula>
      <formula>#REF!</formula>
    </cfRule>
    <cfRule type="cellIs" dxfId="115" priority="202" operator="between">
      <formula>#REF!</formula>
      <formula>#REF!</formula>
    </cfRule>
    <cfRule type="cellIs" dxfId="114" priority="203" operator="between">
      <formula>#REF!</formula>
      <formula>#REF!</formula>
    </cfRule>
  </conditionalFormatting>
  <conditionalFormatting sqref="AC54">
    <cfRule type="containsText" dxfId="113" priority="196" operator="containsText" text="N/A">
      <formula>NOT(ISERROR(SEARCH("N/A",AC54)))</formula>
    </cfRule>
    <cfRule type="cellIs" dxfId="112" priority="197" operator="between">
      <formula>#REF!</formula>
      <formula>#REF!</formula>
    </cfRule>
    <cfRule type="cellIs" dxfId="111" priority="198" operator="between">
      <formula>#REF!</formula>
      <formula>#REF!</formula>
    </cfRule>
    <cfRule type="cellIs" dxfId="110" priority="199" operator="between">
      <formula>#REF!</formula>
      <formula>#REF!</formula>
    </cfRule>
  </conditionalFormatting>
  <conditionalFormatting sqref="AC38">
    <cfRule type="containsText" dxfId="109" priority="180" operator="containsText" text="N/A">
      <formula>NOT(ISERROR(SEARCH("N/A",AC38)))</formula>
    </cfRule>
    <cfRule type="cellIs" dxfId="108" priority="181" operator="between">
      <formula>#REF!</formula>
      <formula>#REF!</formula>
    </cfRule>
    <cfRule type="cellIs" dxfId="107" priority="182" operator="between">
      <formula>#REF!</formula>
      <formula>#REF!</formula>
    </cfRule>
    <cfRule type="cellIs" dxfId="106" priority="183" operator="between">
      <formula>#REF!</formula>
      <formula>#REF!</formula>
    </cfRule>
  </conditionalFormatting>
  <conditionalFormatting sqref="AC40">
    <cfRule type="containsText" dxfId="105" priority="176" operator="containsText" text="N/A">
      <formula>NOT(ISERROR(SEARCH("N/A",AC40)))</formula>
    </cfRule>
    <cfRule type="cellIs" dxfId="104" priority="177" operator="between">
      <formula>#REF!</formula>
      <formula>#REF!</formula>
    </cfRule>
    <cfRule type="cellIs" dxfId="103" priority="178" operator="between">
      <formula>#REF!</formula>
      <formula>#REF!</formula>
    </cfRule>
    <cfRule type="cellIs" dxfId="102" priority="179" operator="between">
      <formula>#REF!</formula>
      <formula>#REF!</formula>
    </cfRule>
  </conditionalFormatting>
  <conditionalFormatting sqref="AC56">
    <cfRule type="containsText" dxfId="101" priority="172" operator="containsText" text="N/A">
      <formula>NOT(ISERROR(SEARCH("N/A",AC56)))</formula>
    </cfRule>
    <cfRule type="cellIs" dxfId="100" priority="173" operator="between">
      <formula>#REF!</formula>
      <formula>#REF!</formula>
    </cfRule>
    <cfRule type="cellIs" dxfId="99" priority="174" operator="between">
      <formula>#REF!</formula>
      <formula>#REF!</formula>
    </cfRule>
    <cfRule type="cellIs" dxfId="98" priority="175" operator="between">
      <formula>#REF!</formula>
      <formula>#REF!</formula>
    </cfRule>
  </conditionalFormatting>
  <conditionalFormatting sqref="AI56">
    <cfRule type="containsText" dxfId="97" priority="168" operator="containsText" text="N/A">
      <formula>NOT(ISERROR(SEARCH("N/A",AI56)))</formula>
    </cfRule>
    <cfRule type="cellIs" dxfId="96" priority="169" operator="between">
      <formula>#REF!</formula>
      <formula>#REF!</formula>
    </cfRule>
    <cfRule type="cellIs" dxfId="95" priority="170" operator="between">
      <formula>#REF!</formula>
      <formula>#REF!</formula>
    </cfRule>
    <cfRule type="cellIs" dxfId="94" priority="171" operator="between">
      <formula>#REF!</formula>
      <formula>#REF!</formula>
    </cfRule>
  </conditionalFormatting>
  <conditionalFormatting sqref="AC58">
    <cfRule type="containsText" dxfId="93" priority="164" operator="containsText" text="N/A">
      <formula>NOT(ISERROR(SEARCH("N/A",AC58)))</formula>
    </cfRule>
    <cfRule type="cellIs" dxfId="92" priority="165" operator="between">
      <formula>#REF!</formula>
      <formula>#REF!</formula>
    </cfRule>
    <cfRule type="cellIs" dxfId="91" priority="166" operator="between">
      <formula>#REF!</formula>
      <formula>#REF!</formula>
    </cfRule>
    <cfRule type="cellIs" dxfId="90" priority="167" operator="between">
      <formula>#REF!</formula>
      <formula>#REF!</formula>
    </cfRule>
  </conditionalFormatting>
  <conditionalFormatting sqref="AC59">
    <cfRule type="containsText" dxfId="89" priority="160" operator="containsText" text="N/A">
      <formula>NOT(ISERROR(SEARCH("N/A",AC59)))</formula>
    </cfRule>
    <cfRule type="cellIs" dxfId="88" priority="161" operator="between">
      <formula>#REF!</formula>
      <formula>#REF!</formula>
    </cfRule>
    <cfRule type="cellIs" dxfId="87" priority="162" operator="between">
      <formula>#REF!</formula>
      <formula>#REF!</formula>
    </cfRule>
    <cfRule type="cellIs" dxfId="86" priority="163" operator="between">
      <formula>#REF!</formula>
      <formula>#REF!</formula>
    </cfRule>
  </conditionalFormatting>
  <conditionalFormatting sqref="AC60">
    <cfRule type="containsText" dxfId="85" priority="156" operator="containsText" text="N/A">
      <formula>NOT(ISERROR(SEARCH("N/A",AC60)))</formula>
    </cfRule>
    <cfRule type="cellIs" dxfId="84" priority="157" operator="between">
      <formula>#REF!</formula>
      <formula>#REF!</formula>
    </cfRule>
    <cfRule type="cellIs" dxfId="83" priority="158" operator="between">
      <formula>#REF!</formula>
      <formula>#REF!</formula>
    </cfRule>
    <cfRule type="cellIs" dxfId="82" priority="159" operator="between">
      <formula>#REF!</formula>
      <formula>#REF!</formula>
    </cfRule>
  </conditionalFormatting>
  <conditionalFormatting sqref="AI53">
    <cfRule type="containsText" dxfId="81" priority="152" operator="containsText" text="N/A">
      <formula>NOT(ISERROR(SEARCH("N/A",AI53)))</formula>
    </cfRule>
    <cfRule type="cellIs" dxfId="80" priority="153" operator="between">
      <formula>#REF!</formula>
      <formula>#REF!</formula>
    </cfRule>
    <cfRule type="cellIs" dxfId="79" priority="154" operator="between">
      <formula>#REF!</formula>
      <formula>#REF!</formula>
    </cfRule>
    <cfRule type="cellIs" dxfId="78" priority="155" operator="between">
      <formula>#REF!</formula>
      <formula>#REF!</formula>
    </cfRule>
  </conditionalFormatting>
  <conditionalFormatting sqref="AC62">
    <cfRule type="containsText" dxfId="77" priority="148" operator="containsText" text="N/A">
      <formula>NOT(ISERROR(SEARCH("N/A",AC62)))</formula>
    </cfRule>
    <cfRule type="cellIs" dxfId="76" priority="149" operator="between">
      <formula>#REF!</formula>
      <formula>#REF!</formula>
    </cfRule>
    <cfRule type="cellIs" dxfId="75" priority="150" operator="between">
      <formula>#REF!</formula>
      <formula>#REF!</formula>
    </cfRule>
    <cfRule type="cellIs" dxfId="74" priority="151" operator="between">
      <formula>#REF!</formula>
      <formula>#REF!</formula>
    </cfRule>
  </conditionalFormatting>
  <conditionalFormatting sqref="AI62">
    <cfRule type="containsText" dxfId="73" priority="144" operator="containsText" text="N/A">
      <formula>NOT(ISERROR(SEARCH("N/A",AI62)))</formula>
    </cfRule>
    <cfRule type="cellIs" dxfId="72" priority="145" operator="between">
      <formula>#REF!</formula>
      <formula>#REF!</formula>
    </cfRule>
    <cfRule type="cellIs" dxfId="71" priority="146" operator="between">
      <formula>#REF!</formula>
      <formula>#REF!</formula>
    </cfRule>
    <cfRule type="cellIs" dxfId="70" priority="147" operator="between">
      <formula>#REF!</formula>
      <formula>#REF!</formula>
    </cfRule>
  </conditionalFormatting>
  <conditionalFormatting sqref="AI64:AI70">
    <cfRule type="containsText" dxfId="69" priority="128" operator="containsText" text="N/A">
      <formula>NOT(ISERROR(SEARCH("N/A",AI64)))</formula>
    </cfRule>
    <cfRule type="cellIs" dxfId="68" priority="129" operator="between">
      <formula>#REF!</formula>
      <formula>#REF!</formula>
    </cfRule>
    <cfRule type="cellIs" dxfId="67" priority="130" operator="between">
      <formula>#REF!</formula>
      <formula>#REF!</formula>
    </cfRule>
    <cfRule type="cellIs" dxfId="66" priority="131" operator="between">
      <formula>#REF!</formula>
      <formula>#REF!</formula>
    </cfRule>
  </conditionalFormatting>
  <conditionalFormatting sqref="AZ17:AZ21 AZ59:AZ70 AZ23:AZ24 AZ27 AZ29 AZ33 AZ40:AZ45 AZ47:AZ48 AZ50:AZ57">
    <cfRule type="colorScale" priority="1563">
      <colorScale>
        <cfvo type="num" val="0.45"/>
        <cfvo type="percent" val="0.65"/>
        <cfvo type="percent" val="100"/>
        <color rgb="FFF8696B"/>
        <color rgb="FFFFEB84"/>
        <color rgb="FF63BE7B"/>
      </colorScale>
    </cfRule>
  </conditionalFormatting>
  <conditionalFormatting sqref="AU71">
    <cfRule type="iconSet" priority="1565">
      <iconSet iconSet="4Arrows">
        <cfvo type="percent" val="0"/>
        <cfvo type="percent" val="25"/>
        <cfvo type="percent" val="50"/>
        <cfvo type="percent" val="75"/>
      </iconSet>
    </cfRule>
  </conditionalFormatting>
  <conditionalFormatting sqref="AZ18:AZ21 AZ59:AZ71 AZ23:AZ24 AZ27 AZ29 AZ33 AZ40:AZ45 AZ47:AZ48 AZ50:AZ57">
    <cfRule type="colorScale" priority="1567">
      <colorScale>
        <cfvo type="num" val="0.45"/>
        <cfvo type="percent" val="0.65"/>
        <cfvo type="percent" val="100"/>
        <color rgb="FFF8696B"/>
        <color rgb="FFFFEB84"/>
        <color rgb="FF63BE7B"/>
      </colorScale>
    </cfRule>
  </conditionalFormatting>
  <conditionalFormatting sqref="AO18">
    <cfRule type="containsText" dxfId="65" priority="120" operator="containsText" text="N/A">
      <formula>NOT(ISERROR(SEARCH("N/A",AO18)))</formula>
    </cfRule>
    <cfRule type="cellIs" dxfId="64" priority="121" operator="between">
      <formula>#REF!</formula>
      <formula>#REF!</formula>
    </cfRule>
    <cfRule type="cellIs" dxfId="63" priority="122" operator="between">
      <formula>#REF!</formula>
      <formula>#REF!</formula>
    </cfRule>
    <cfRule type="cellIs" dxfId="62" priority="123" operator="between">
      <formula>#REF!</formula>
      <formula>#REF!</formula>
    </cfRule>
  </conditionalFormatting>
  <conditionalFormatting sqref="AO19">
    <cfRule type="containsText" dxfId="61" priority="116" operator="containsText" text="N/A">
      <formula>NOT(ISERROR(SEARCH("N/A",AO19)))</formula>
    </cfRule>
    <cfRule type="cellIs" dxfId="60" priority="117" operator="between">
      <formula>#REF!</formula>
      <formula>#REF!</formula>
    </cfRule>
    <cfRule type="cellIs" dxfId="59" priority="118" operator="between">
      <formula>#REF!</formula>
      <formula>#REF!</formula>
    </cfRule>
    <cfRule type="cellIs" dxfId="58" priority="119" operator="between">
      <formula>#REF!</formula>
      <formula>#REF!</formula>
    </cfRule>
  </conditionalFormatting>
  <conditionalFormatting sqref="AO21">
    <cfRule type="containsText" dxfId="57" priority="112" operator="containsText" text="N/A">
      <formula>NOT(ISERROR(SEARCH("N/A",AO21)))</formula>
    </cfRule>
    <cfRule type="cellIs" dxfId="56" priority="113" operator="between">
      <formula>#REF!</formula>
      <formula>#REF!</formula>
    </cfRule>
    <cfRule type="cellIs" dxfId="55" priority="114" operator="between">
      <formula>#REF!</formula>
      <formula>#REF!</formula>
    </cfRule>
    <cfRule type="cellIs" dxfId="54" priority="115" operator="between">
      <formula>#REF!</formula>
      <formula>#REF!</formula>
    </cfRule>
  </conditionalFormatting>
  <conditionalFormatting sqref="AO26">
    <cfRule type="containsText" dxfId="53" priority="108" operator="containsText" text="N/A">
      <formula>NOT(ISERROR(SEARCH("N/A",AO26)))</formula>
    </cfRule>
    <cfRule type="cellIs" dxfId="52" priority="109" operator="between">
      <formula>#REF!</formula>
      <formula>#REF!</formula>
    </cfRule>
    <cfRule type="cellIs" dxfId="51" priority="110" operator="between">
      <formula>#REF!</formula>
      <formula>#REF!</formula>
    </cfRule>
    <cfRule type="cellIs" dxfId="50" priority="111" operator="between">
      <formula>#REF!</formula>
      <formula>#REF!</formula>
    </cfRule>
  </conditionalFormatting>
  <conditionalFormatting sqref="AO35">
    <cfRule type="containsText" dxfId="49" priority="104" operator="containsText" text="N/A">
      <formula>NOT(ISERROR(SEARCH("N/A",AO35)))</formula>
    </cfRule>
    <cfRule type="cellIs" dxfId="48" priority="105" operator="between">
      <formula>#REF!</formula>
      <formula>#REF!</formula>
    </cfRule>
    <cfRule type="cellIs" dxfId="47" priority="106" operator="between">
      <formula>#REF!</formula>
      <formula>#REF!</formula>
    </cfRule>
    <cfRule type="cellIs" dxfId="46" priority="107" operator="between">
      <formula>#REF!</formula>
      <formula>#REF!</formula>
    </cfRule>
  </conditionalFormatting>
  <conditionalFormatting sqref="AO37">
    <cfRule type="containsText" dxfId="45" priority="100" operator="containsText" text="N/A">
      <formula>NOT(ISERROR(SEARCH("N/A",AO37)))</formula>
    </cfRule>
    <cfRule type="cellIs" dxfId="44" priority="101" operator="between">
      <formula>#REF!</formula>
      <formula>#REF!</formula>
    </cfRule>
    <cfRule type="cellIs" dxfId="43" priority="102" operator="between">
      <formula>#REF!</formula>
      <formula>#REF!</formula>
    </cfRule>
    <cfRule type="cellIs" dxfId="42" priority="103" operator="between">
      <formula>#REF!</formula>
      <formula>#REF!</formula>
    </cfRule>
  </conditionalFormatting>
  <conditionalFormatting sqref="AO38">
    <cfRule type="containsText" dxfId="41" priority="96" operator="containsText" text="N/A">
      <formula>NOT(ISERROR(SEARCH("N/A",AO38)))</formula>
    </cfRule>
    <cfRule type="cellIs" dxfId="40" priority="97" operator="between">
      <formula>#REF!</formula>
      <formula>#REF!</formula>
    </cfRule>
    <cfRule type="cellIs" dxfId="39" priority="98" operator="between">
      <formula>#REF!</formula>
      <formula>#REF!</formula>
    </cfRule>
    <cfRule type="cellIs" dxfId="38" priority="99" operator="between">
      <formula>#REF!</formula>
      <formula>#REF!</formula>
    </cfRule>
  </conditionalFormatting>
  <conditionalFormatting sqref="AO47">
    <cfRule type="containsText" dxfId="37" priority="92" operator="containsText" text="N/A">
      <formula>NOT(ISERROR(SEARCH("N/A",AO47)))</formula>
    </cfRule>
    <cfRule type="cellIs" dxfId="36" priority="93" operator="between">
      <formula>#REF!</formula>
      <formula>#REF!</formula>
    </cfRule>
    <cfRule type="cellIs" dxfId="35" priority="94" operator="between">
      <formula>#REF!</formula>
      <formula>#REF!</formula>
    </cfRule>
    <cfRule type="cellIs" dxfId="34" priority="95" operator="between">
      <formula>#REF!</formula>
      <formula>#REF!</formula>
    </cfRule>
  </conditionalFormatting>
  <conditionalFormatting sqref="AO56">
    <cfRule type="containsText" dxfId="33" priority="88" operator="containsText" text="N/A">
      <formula>NOT(ISERROR(SEARCH("N/A",AO56)))</formula>
    </cfRule>
    <cfRule type="cellIs" dxfId="32" priority="89" operator="between">
      <formula>#REF!</formula>
      <formula>#REF!</formula>
    </cfRule>
    <cfRule type="cellIs" dxfId="31" priority="90" operator="between">
      <formula>#REF!</formula>
      <formula>#REF!</formula>
    </cfRule>
    <cfRule type="cellIs" dxfId="30" priority="91" operator="between">
      <formula>#REF!</formula>
      <formula>#REF!</formula>
    </cfRule>
  </conditionalFormatting>
  <conditionalFormatting sqref="AC17 AC56 AC45:AC48 AC39 AC41:AC43 AC58 AC62 AC64:AC71 AC20:AC37">
    <cfRule type="containsText" dxfId="29" priority="84" operator="containsText" text="N/A">
      <formula>NOT(ISERROR(SEARCH("N/A",AC17)))</formula>
    </cfRule>
  </conditionalFormatting>
  <conditionalFormatting sqref="AC49">
    <cfRule type="containsText" dxfId="28" priority="80" operator="containsText" text="N/A">
      <formula>NOT(ISERROR(SEARCH("N/A",AC49)))</formula>
    </cfRule>
  </conditionalFormatting>
  <conditionalFormatting sqref="AC50">
    <cfRule type="containsText" dxfId="27" priority="76" operator="containsText" text="N/A">
      <formula>NOT(ISERROR(SEARCH("N/A",AC50)))</formula>
    </cfRule>
  </conditionalFormatting>
  <conditionalFormatting sqref="AC51">
    <cfRule type="containsText" dxfId="26" priority="72" operator="containsText" text="N/A">
      <formula>NOT(ISERROR(SEARCH("N/A",AC51)))</formula>
    </cfRule>
  </conditionalFormatting>
  <conditionalFormatting sqref="AC52">
    <cfRule type="containsText" dxfId="25" priority="68" operator="containsText" text="N/A">
      <formula>NOT(ISERROR(SEARCH("N/A",AC52)))</formula>
    </cfRule>
  </conditionalFormatting>
  <conditionalFormatting sqref="AC53">
    <cfRule type="containsText" dxfId="24" priority="64" operator="containsText" text="N/A">
      <formula>NOT(ISERROR(SEARCH("N/A",AC53)))</formula>
    </cfRule>
  </conditionalFormatting>
  <conditionalFormatting sqref="AC54">
    <cfRule type="containsText" dxfId="23" priority="60" operator="containsText" text="N/A">
      <formula>NOT(ISERROR(SEARCH("N/A",AC54)))</formula>
    </cfRule>
  </conditionalFormatting>
  <conditionalFormatting sqref="AC55">
    <cfRule type="containsText" dxfId="22" priority="56" operator="containsText" text="N/A">
      <formula>NOT(ISERROR(SEARCH("N/A",AC55)))</formula>
    </cfRule>
  </conditionalFormatting>
  <conditionalFormatting sqref="AC44">
    <cfRule type="containsText" dxfId="21" priority="52" operator="containsText" text="N/A">
      <formula>NOT(ISERROR(SEARCH("N/A",AC44)))</formula>
    </cfRule>
  </conditionalFormatting>
  <conditionalFormatting sqref="AC38">
    <cfRule type="containsText" dxfId="20" priority="48" operator="containsText" text="N/A">
      <formula>NOT(ISERROR(SEARCH("N/A",AC38)))</formula>
    </cfRule>
  </conditionalFormatting>
  <conditionalFormatting sqref="AC40">
    <cfRule type="containsText" dxfId="19" priority="44" operator="containsText" text="N/A">
      <formula>NOT(ISERROR(SEARCH("N/A",AC40)))</formula>
    </cfRule>
  </conditionalFormatting>
  <conditionalFormatting sqref="AC57">
    <cfRule type="containsText" dxfId="18" priority="40" operator="containsText" text="N/A">
      <formula>NOT(ISERROR(SEARCH("N/A",AC57)))</formula>
    </cfRule>
  </conditionalFormatting>
  <conditionalFormatting sqref="AC59">
    <cfRule type="containsText" dxfId="17" priority="36" operator="containsText" text="N/A">
      <formula>NOT(ISERROR(SEARCH("N/A",AC59)))</formula>
    </cfRule>
  </conditionalFormatting>
  <conditionalFormatting sqref="AC60">
    <cfRule type="containsText" dxfId="16" priority="32" operator="containsText" text="N/A">
      <formula>NOT(ISERROR(SEARCH("N/A",AC60)))</formula>
    </cfRule>
  </conditionalFormatting>
  <conditionalFormatting sqref="AC61">
    <cfRule type="containsText" dxfId="15" priority="28" operator="containsText" text="N/A">
      <formula>NOT(ISERROR(SEARCH("N/A",AC61)))</formula>
    </cfRule>
  </conditionalFormatting>
  <conditionalFormatting sqref="AC63">
    <cfRule type="containsText" dxfId="14" priority="24" operator="containsText" text="N/A">
      <formula>NOT(ISERROR(SEARCH("N/A",AC63)))</formula>
    </cfRule>
  </conditionalFormatting>
  <conditionalFormatting sqref="AC18">
    <cfRule type="containsText" dxfId="13" priority="20" operator="containsText" text="N/A">
      <formula>NOT(ISERROR(SEARCH("N/A",AC18)))</formula>
    </cfRule>
  </conditionalFormatting>
  <conditionalFormatting sqref="AC19">
    <cfRule type="containsText" dxfId="12" priority="16" operator="containsText" text="N/A">
      <formula>NOT(ISERROR(SEARCH("N/A",AC19)))</formula>
    </cfRule>
  </conditionalFormatting>
  <conditionalFormatting sqref="AC64:AC70">
    <cfRule type="containsText" dxfId="11" priority="12" operator="containsText" text="N/A">
      <formula>NOT(ISERROR(SEARCH("N/A",AC64)))</formula>
    </cfRule>
    <cfRule type="cellIs" dxfId="10" priority="13" operator="between">
      <formula>#REF!</formula>
      <formula>#REF!</formula>
    </cfRule>
    <cfRule type="cellIs" dxfId="9" priority="14" operator="between">
      <formula>#REF!</formula>
      <formula>#REF!</formula>
    </cfRule>
    <cfRule type="cellIs" dxfId="8" priority="15" operator="between">
      <formula>#REF!</formula>
      <formula>#REF!</formula>
    </cfRule>
  </conditionalFormatting>
  <conditionalFormatting sqref="AC71">
    <cfRule type="colorScale" priority="11">
      <colorScale>
        <cfvo type="min"/>
        <cfvo type="percentile" val="50"/>
        <cfvo type="max"/>
        <color rgb="FFF8696B"/>
        <color rgb="FFFFEB84"/>
        <color rgb="FF63BE7B"/>
      </colorScale>
    </cfRule>
  </conditionalFormatting>
  <conditionalFormatting sqref="AO64:AO70">
    <cfRule type="containsText" dxfId="7" priority="7" operator="containsText" text="N/A">
      <formula>NOT(ISERROR(SEARCH("N/A",AO64)))</formula>
    </cfRule>
    <cfRule type="cellIs" dxfId="6" priority="8" operator="between">
      <formula>#REF!</formula>
      <formula>#REF!</formula>
    </cfRule>
    <cfRule type="cellIs" dxfId="5" priority="9" operator="between">
      <formula>#REF!</formula>
      <formula>#REF!</formula>
    </cfRule>
    <cfRule type="cellIs" dxfId="4" priority="10" operator="between">
      <formula>#REF!</formula>
      <formula>#REF!</formula>
    </cfRule>
  </conditionalFormatting>
  <conditionalFormatting sqref="AZ71">
    <cfRule type="colorScale" priority="6">
      <colorScale>
        <cfvo type="min"/>
        <cfvo type="percentile" val="50"/>
        <cfvo type="max"/>
        <color rgb="FFF8696B"/>
        <color rgb="FFFFEB84"/>
        <color rgb="FF63BE7B"/>
      </colorScale>
    </cfRule>
  </conditionalFormatting>
  <conditionalFormatting sqref="AU64:AU70">
    <cfRule type="containsText" dxfId="3" priority="1" operator="containsText" text="N/A">
      <formula>NOT(ISERROR(SEARCH("N/A",AU64)))</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conditionalFormatting sqref="AU64:AU70">
    <cfRule type="iconSet" priority="5">
      <iconSet iconSet="4Arrows">
        <cfvo type="percent" val="0"/>
        <cfvo type="percent" val="25"/>
        <cfvo type="percent" val="50"/>
        <cfvo type="percent" val="75"/>
      </iconSet>
    </cfRule>
  </conditionalFormatting>
  <dataValidations count="10">
    <dataValidation type="list" allowBlank="1" showInputMessage="1" showErrorMessage="1" sqref="J17:J71">
      <formula1>PROGRAMACION</formula1>
    </dataValidation>
    <dataValidation type="list" allowBlank="1" showInputMessage="1" showErrorMessage="1" sqref="Q17:Q70">
      <formula1>INDICADOR</formula1>
    </dataValidation>
    <dataValidation type="list" allowBlank="1" showInputMessage="1" showErrorMessage="1" sqref="U17:U70">
      <formula1>FUENTE</formula1>
    </dataValidation>
    <dataValidation type="list" allowBlank="1" showInputMessage="1" showErrorMessage="1" error="Escriba un texto " promptTitle="Cualquier contenido" sqref="F17:F63">
      <formula1>META2</formula1>
    </dataValidation>
    <dataValidation type="list" allowBlank="1" showInputMessage="1" showErrorMessage="1" sqref="V17:V70">
      <formula1>RUBROS</formula1>
    </dataValidation>
    <dataValidation type="list" allowBlank="1" showInputMessage="1" showErrorMessage="1" sqref="T17:T70">
      <formula1>CONTRALORIA</formula1>
    </dataValidation>
    <dataValidation type="list" allowBlank="1" showInputMessage="1" showErrorMessage="1" sqref="AB5">
      <formula1>$BC$7:$BC$10</formula1>
    </dataValidation>
    <dataValidation type="list" allowBlank="1" showInputMessage="1" showErrorMessage="1" sqref="B4">
      <formula1>DEPENDENCIA</formula1>
    </dataValidation>
    <dataValidation type="list" allowBlank="1" showInputMessage="1" showErrorMessage="1" sqref="B7">
      <formula1>LIDERPROCESO</formula1>
    </dataValidation>
    <dataValidation type="list" allowBlank="1" showInputMessage="1" showErrorMessage="1" sqref="W17:W71">
      <formula1>$B$85:$B$103</formula1>
    </dataValidation>
  </dataValidations>
  <pageMargins left="0.70866141732283472" right="0.70866141732283472" top="0.74803149606299213" bottom="0.74803149606299213" header="0.31496062992125984" footer="0.31496062992125984"/>
  <pageSetup paperSize="14" scale="40" orientation="landscape" horizontalDpi="4294967293" r:id="rId1"/>
  <colBreaks count="1" manualBreakCount="1">
    <brk id="25" max="42"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zoomScale="55" zoomScaleNormal="55" workbookViewId="0">
      <selection activeCell="D2" sqref="D2:D5"/>
    </sheetView>
  </sheetViews>
  <sheetFormatPr baseColWidth="10" defaultColWidth="9.140625"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514</v>
      </c>
      <c r="B1" t="s">
        <v>40</v>
      </c>
      <c r="C1" t="s">
        <v>515</v>
      </c>
      <c r="D1" t="s">
        <v>516</v>
      </c>
      <c r="F1" t="s">
        <v>517</v>
      </c>
    </row>
    <row r="2" spans="1:8">
      <c r="A2" t="s">
        <v>518</v>
      </c>
      <c r="B2" t="s">
        <v>519</v>
      </c>
      <c r="C2" t="s">
        <v>104</v>
      </c>
      <c r="D2" t="s">
        <v>57</v>
      </c>
      <c r="F2" t="s">
        <v>302</v>
      </c>
    </row>
    <row r="3" spans="1:8">
      <c r="A3" t="s">
        <v>520</v>
      </c>
      <c r="B3" t="s">
        <v>521</v>
      </c>
      <c r="C3" t="s">
        <v>220</v>
      </c>
      <c r="D3" t="s">
        <v>107</v>
      </c>
      <c r="F3" t="s">
        <v>59</v>
      </c>
    </row>
    <row r="4" spans="1:8">
      <c r="A4" t="s">
        <v>522</v>
      </c>
      <c r="C4" t="s">
        <v>54</v>
      </c>
      <c r="D4" t="s">
        <v>83</v>
      </c>
      <c r="F4" t="s">
        <v>435</v>
      </c>
    </row>
    <row r="5" spans="1:8">
      <c r="A5" t="s">
        <v>523</v>
      </c>
      <c r="C5" t="s">
        <v>460</v>
      </c>
      <c r="D5" t="s">
        <v>524</v>
      </c>
    </row>
    <row r="6" spans="1:8">
      <c r="A6" t="s">
        <v>525</v>
      </c>
      <c r="E6" t="s">
        <v>526</v>
      </c>
      <c r="G6" t="s">
        <v>527</v>
      </c>
    </row>
    <row r="7" spans="1:8">
      <c r="A7" t="s">
        <v>528</v>
      </c>
      <c r="E7" t="s">
        <v>529</v>
      </c>
      <c r="G7" t="s">
        <v>110</v>
      </c>
    </row>
    <row r="8" spans="1:8">
      <c r="E8" t="s">
        <v>530</v>
      </c>
      <c r="G8" t="s">
        <v>62</v>
      </c>
    </row>
    <row r="9" spans="1:8">
      <c r="E9" t="s">
        <v>531</v>
      </c>
    </row>
    <row r="10" spans="1:8">
      <c r="E10" t="s">
        <v>532</v>
      </c>
    </row>
    <row r="12" spans="1:8" s="15" customFormat="1" ht="74.25" customHeight="1">
      <c r="A12" s="24"/>
      <c r="C12" s="25"/>
      <c r="D12" s="18"/>
      <c r="H12" s="15" t="s">
        <v>533</v>
      </c>
    </row>
    <row r="13" spans="1:8" s="15" customFormat="1" ht="74.25" customHeight="1">
      <c r="A13" s="24"/>
      <c r="C13" s="25"/>
      <c r="D13" s="18"/>
      <c r="H13" s="15" t="s">
        <v>534</v>
      </c>
    </row>
    <row r="14" spans="1:8" s="15" customFormat="1" ht="74.25" customHeight="1">
      <c r="A14" s="24"/>
      <c r="C14" s="25"/>
      <c r="D14" s="14"/>
      <c r="H14" s="15" t="s">
        <v>535</v>
      </c>
    </row>
    <row r="15" spans="1:8" s="15" customFormat="1" ht="74.25" customHeight="1">
      <c r="A15" s="24"/>
      <c r="C15" s="25"/>
      <c r="D15" s="14"/>
      <c r="H15" s="15" t="s">
        <v>536</v>
      </c>
    </row>
    <row r="16" spans="1:8" s="15" customFormat="1" ht="74.25" customHeight="1" thickBot="1">
      <c r="A16" s="24"/>
      <c r="C16" s="25"/>
      <c r="D16" s="17"/>
    </row>
    <row r="17" spans="1:4" s="15" customFormat="1" ht="74.25" customHeight="1">
      <c r="A17" s="24"/>
      <c r="C17" s="25"/>
      <c r="D17" s="16"/>
    </row>
    <row r="18" spans="1:4" s="15" customFormat="1" ht="74.25" customHeight="1">
      <c r="A18" s="24"/>
      <c r="C18" s="25"/>
      <c r="D18" s="18"/>
    </row>
    <row r="19" spans="1:4" s="15" customFormat="1" ht="74.25" customHeight="1">
      <c r="A19" s="24"/>
      <c r="C19" s="25"/>
      <c r="D19" s="18"/>
    </row>
    <row r="20" spans="1:4" s="15" customFormat="1" ht="74.25" customHeight="1">
      <c r="A20" s="24"/>
      <c r="C20" s="25"/>
      <c r="D20" s="18"/>
    </row>
    <row r="21" spans="1:4" s="15" customFormat="1" ht="74.25" customHeight="1" thickBot="1">
      <c r="A21" s="24"/>
      <c r="C21" s="26"/>
      <c r="D21" s="18"/>
    </row>
    <row r="22" spans="1:4" ht="18.75" thickBot="1">
      <c r="C22" s="26"/>
      <c r="D22" s="16"/>
    </row>
    <row r="23" spans="1:4" ht="18.75" thickBot="1">
      <c r="C23" s="26"/>
      <c r="D23" s="13"/>
    </row>
    <row r="24" spans="1:4" ht="18">
      <c r="C24" s="27"/>
      <c r="D24" s="16"/>
    </row>
    <row r="25" spans="1:4" ht="18">
      <c r="C25" s="27"/>
      <c r="D25" s="18"/>
    </row>
    <row r="26" spans="1:4" ht="18">
      <c r="C26" s="27"/>
      <c r="D26" s="18"/>
    </row>
    <row r="27" spans="1:4" ht="18.75" thickBot="1">
      <c r="C27" s="27"/>
      <c r="D27" s="17"/>
    </row>
    <row r="28" spans="1:4" ht="18">
      <c r="C28" s="27"/>
      <c r="D28" s="16"/>
    </row>
    <row r="29" spans="1:4" ht="18">
      <c r="C29" s="27"/>
      <c r="D29" s="18"/>
    </row>
    <row r="30" spans="1:4" ht="18">
      <c r="C30" s="27"/>
      <c r="D30" s="18"/>
    </row>
    <row r="31" spans="1:4" ht="18">
      <c r="C31" s="27"/>
      <c r="D31" s="18"/>
    </row>
    <row r="32" spans="1:4" ht="18">
      <c r="C32" s="28"/>
      <c r="D32" s="18"/>
    </row>
    <row r="33" spans="3:4" ht="18">
      <c r="C33" s="28"/>
      <c r="D33" s="18"/>
    </row>
    <row r="34" spans="3:4" ht="18">
      <c r="C34" s="28"/>
      <c r="D34" s="17"/>
    </row>
    <row r="35" spans="3:4" ht="18">
      <c r="C35" s="28"/>
      <c r="D35" s="17"/>
    </row>
    <row r="36" spans="3:4" ht="18">
      <c r="C36" s="28"/>
      <c r="D36" s="17"/>
    </row>
    <row r="37" spans="3:4" ht="18">
      <c r="C37" s="28"/>
      <c r="D37" s="17"/>
    </row>
    <row r="38" spans="3:4" ht="18">
      <c r="C38" s="28"/>
      <c r="D38" s="20"/>
    </row>
    <row r="39" spans="3:4" ht="18">
      <c r="C39" s="28"/>
      <c r="D39" s="20"/>
    </row>
    <row r="40" spans="3:4" ht="18">
      <c r="C40" s="29"/>
      <c r="D40" s="20"/>
    </row>
    <row r="41" spans="3:4" ht="18">
      <c r="C41" s="29"/>
      <c r="D41" s="20"/>
    </row>
    <row r="42" spans="3:4" ht="18.75" thickBot="1">
      <c r="C42" s="30"/>
      <c r="D42" s="20"/>
    </row>
    <row r="43" spans="3:4" ht="18">
      <c r="C43" s="31"/>
      <c r="D43" s="16"/>
    </row>
    <row r="44" spans="3:4" ht="18">
      <c r="C44" s="32"/>
      <c r="D44" s="17"/>
    </row>
    <row r="45" spans="3:4" ht="18">
      <c r="C45" s="32"/>
      <c r="D45" s="17"/>
    </row>
    <row r="46" spans="3:4" ht="18">
      <c r="C46" s="32"/>
      <c r="D46" s="20"/>
    </row>
    <row r="47" spans="3:4" ht="18.75" thickBot="1">
      <c r="C47" s="33"/>
      <c r="D47" s="19"/>
    </row>
    <row r="48" spans="3:4" ht="18">
      <c r="C48" s="34"/>
    </row>
    <row r="49" spans="3:3" ht="18">
      <c r="C49" s="34"/>
    </row>
    <row r="50" spans="3:3" ht="18">
      <c r="C50" s="34"/>
    </row>
    <row r="51" spans="3:3" ht="18">
      <c r="C51" s="34"/>
    </row>
    <row r="52" spans="3:3" ht="18">
      <c r="C52" s="35"/>
    </row>
    <row r="53" spans="3:3" ht="18">
      <c r="C53" s="35"/>
    </row>
    <row r="54" spans="3:3" ht="18">
      <c r="C54" s="35"/>
    </row>
    <row r="55" spans="3:3" ht="18">
      <c r="C55" s="35"/>
    </row>
    <row r="56" spans="3:3" ht="18">
      <c r="C56" s="36"/>
    </row>
    <row r="57" spans="3:3" ht="18">
      <c r="C57" s="37"/>
    </row>
    <row r="58" spans="3:3" ht="18">
      <c r="C58" s="37"/>
    </row>
    <row r="59" spans="3:3" ht="18">
      <c r="C59" s="37"/>
    </row>
    <row r="60" spans="3:3" ht="18.75" thickBot="1">
      <c r="C60" s="38"/>
    </row>
    <row r="61" spans="3:3" ht="18">
      <c r="C61" s="39"/>
    </row>
    <row r="62" spans="3:3" ht="18">
      <c r="C62" s="40"/>
    </row>
    <row r="63" spans="3:3" ht="18">
      <c r="C63" s="40"/>
    </row>
    <row r="64" spans="3:3" ht="18">
      <c r="C64" s="40"/>
    </row>
    <row r="65" spans="3:3" ht="18">
      <c r="C65" s="40"/>
    </row>
    <row r="66" spans="3:3" ht="18">
      <c r="C66" s="41"/>
    </row>
    <row r="67" spans="3:3" ht="18">
      <c r="C67" s="41"/>
    </row>
    <row r="68" spans="3:3" ht="18">
      <c r="C68" s="41"/>
    </row>
    <row r="69" spans="3:3" ht="18">
      <c r="C69" s="41"/>
    </row>
    <row r="70" spans="3:3" ht="18">
      <c r="C70" s="41"/>
    </row>
    <row r="71" spans="3:3" ht="18">
      <c r="C71" s="42"/>
    </row>
    <row r="72" spans="3:3" ht="18">
      <c r="C72" s="41"/>
    </row>
    <row r="73" spans="3:3" ht="18">
      <c r="C73" s="41"/>
    </row>
    <row r="74" spans="3:3" ht="18">
      <c r="C74" s="41"/>
    </row>
    <row r="75" spans="3:3" ht="18">
      <c r="C75" s="41"/>
    </row>
    <row r="76" spans="3:3" ht="18">
      <c r="C76" s="41"/>
    </row>
    <row r="77" spans="3:3" ht="18">
      <c r="C77" s="41"/>
    </row>
    <row r="78" spans="3:3" ht="18">
      <c r="C78" s="41"/>
    </row>
    <row r="79" spans="3:3" ht="18">
      <c r="C79" s="40"/>
    </row>
    <row r="80" spans="3:3" ht="18">
      <c r="C80" s="40"/>
    </row>
    <row r="81" spans="3:3" ht="18">
      <c r="C81" s="40"/>
    </row>
    <row r="82" spans="3:3" ht="18">
      <c r="C82" s="40"/>
    </row>
    <row r="83" spans="3:3" ht="18">
      <c r="C83" s="40"/>
    </row>
    <row r="84" spans="3:3" ht="18">
      <c r="C84" s="40"/>
    </row>
    <row r="85" spans="3:3" ht="18">
      <c r="C85" s="43"/>
    </row>
    <row r="86" spans="3:3" ht="18">
      <c r="C86" s="40"/>
    </row>
    <row r="87" spans="3:3" ht="18">
      <c r="C87" s="40"/>
    </row>
    <row r="88" spans="3:3" ht="18.75" thickBot="1">
      <c r="C88" s="44"/>
    </row>
    <row r="89" spans="3:3" ht="18">
      <c r="C89" s="45"/>
    </row>
    <row r="90" spans="3:3" ht="18">
      <c r="C90" s="41"/>
    </row>
    <row r="91" spans="3:3" ht="18">
      <c r="C91" s="41"/>
    </row>
    <row r="92" spans="3:3" ht="18">
      <c r="C92" s="41"/>
    </row>
    <row r="93" spans="3:3" ht="18">
      <c r="C93" s="41"/>
    </row>
    <row r="94" spans="3:3" ht="18.75" thickBot="1">
      <c r="C94" s="46"/>
    </row>
    <row r="99" spans="2:3">
      <c r="B99" t="s">
        <v>49</v>
      </c>
      <c r="C99" t="s">
        <v>537</v>
      </c>
    </row>
    <row r="100" spans="2:3">
      <c r="B100" s="22">
        <v>1167</v>
      </c>
      <c r="C100" s="15" t="s">
        <v>538</v>
      </c>
    </row>
    <row r="101" spans="2:3" ht="30">
      <c r="B101" s="22">
        <v>1131</v>
      </c>
      <c r="C101" s="15" t="s">
        <v>539</v>
      </c>
    </row>
    <row r="102" spans="2:3">
      <c r="B102" s="22">
        <v>1177</v>
      </c>
      <c r="C102" s="15" t="s">
        <v>540</v>
      </c>
    </row>
    <row r="103" spans="2:3" ht="30">
      <c r="B103" s="22">
        <v>1094</v>
      </c>
      <c r="C103" s="15" t="s">
        <v>541</v>
      </c>
    </row>
    <row r="104" spans="2:3">
      <c r="B104" s="22">
        <v>1128</v>
      </c>
      <c r="C104" s="15" t="s">
        <v>542</v>
      </c>
    </row>
    <row r="105" spans="2:3" ht="30">
      <c r="B105" s="22">
        <v>1095</v>
      </c>
      <c r="C105" s="15" t="s">
        <v>543</v>
      </c>
    </row>
    <row r="106" spans="2:3" ht="30">
      <c r="B106" s="22">
        <v>1129</v>
      </c>
      <c r="C106" s="15" t="s">
        <v>544</v>
      </c>
    </row>
    <row r="107" spans="2:3" ht="45">
      <c r="B107" s="22">
        <v>1120</v>
      </c>
      <c r="C107" s="15" t="s">
        <v>545</v>
      </c>
    </row>
    <row r="108" spans="2:3">
      <c r="B108" s="21"/>
    </row>
    <row r="109" spans="2:3">
      <c r="B109" s="21"/>
    </row>
    <row r="117" spans="2:3">
      <c r="B117" t="s">
        <v>2</v>
      </c>
    </row>
    <row r="118" spans="2:3">
      <c r="B118" t="s">
        <v>546</v>
      </c>
      <c r="C118" t="s">
        <v>547</v>
      </c>
    </row>
    <row r="119" spans="2:3">
      <c r="B119" t="s">
        <v>548</v>
      </c>
      <c r="C119" t="s">
        <v>549</v>
      </c>
    </row>
    <row r="120" spans="2:3">
      <c r="B120" t="s">
        <v>550</v>
      </c>
      <c r="C120" t="s">
        <v>551</v>
      </c>
    </row>
    <row r="121" spans="2:3">
      <c r="B121" t="s">
        <v>552</v>
      </c>
      <c r="C121" t="s">
        <v>553</v>
      </c>
    </row>
    <row r="122" spans="2:3">
      <c r="B122" t="s">
        <v>554</v>
      </c>
      <c r="C122" t="s">
        <v>555</v>
      </c>
    </row>
    <row r="123" spans="2:3">
      <c r="B123" t="s">
        <v>556</v>
      </c>
      <c r="C123" t="s">
        <v>557</v>
      </c>
    </row>
    <row r="124" spans="2:3">
      <c r="B124" t="s">
        <v>558</v>
      </c>
      <c r="C124" t="s">
        <v>559</v>
      </c>
    </row>
    <row r="125" spans="2:3">
      <c r="B125" t="s">
        <v>560</v>
      </c>
      <c r="C125" t="s">
        <v>561</v>
      </c>
    </row>
    <row r="126" spans="2:3">
      <c r="B126" t="s">
        <v>562</v>
      </c>
      <c r="C126" t="s">
        <v>563</v>
      </c>
    </row>
    <row r="127" spans="2:3">
      <c r="B127" t="s">
        <v>564</v>
      </c>
      <c r="C127" t="s">
        <v>565</v>
      </c>
    </row>
    <row r="128" spans="2:3">
      <c r="B128" t="s">
        <v>566</v>
      </c>
      <c r="C128" t="s">
        <v>567</v>
      </c>
    </row>
    <row r="129" spans="2:3">
      <c r="B129" t="s">
        <v>568</v>
      </c>
      <c r="C129" t="s">
        <v>569</v>
      </c>
    </row>
    <row r="130" spans="2:3">
      <c r="B130" t="s">
        <v>570</v>
      </c>
      <c r="C130" t="s">
        <v>571</v>
      </c>
    </row>
    <row r="131" spans="2:3">
      <c r="B131" t="s">
        <v>572</v>
      </c>
      <c r="C131" t="s">
        <v>573</v>
      </c>
    </row>
    <row r="132" spans="2:3">
      <c r="B132" t="s">
        <v>574</v>
      </c>
      <c r="C132" t="s">
        <v>575</v>
      </c>
    </row>
    <row r="133" spans="2:3">
      <c r="B133" t="s">
        <v>576</v>
      </c>
      <c r="C133" t="s">
        <v>577</v>
      </c>
    </row>
    <row r="134" spans="2:3">
      <c r="B134" t="s">
        <v>578</v>
      </c>
      <c r="C134" t="s">
        <v>579</v>
      </c>
    </row>
    <row r="135" spans="2:3">
      <c r="B135" t="s">
        <v>580</v>
      </c>
      <c r="C135" t="s">
        <v>581</v>
      </c>
    </row>
    <row r="136" spans="2:3">
      <c r="B136" t="s">
        <v>582</v>
      </c>
      <c r="C136" t="s">
        <v>583</v>
      </c>
    </row>
    <row r="137" spans="2:3">
      <c r="B137" t="s">
        <v>584</v>
      </c>
      <c r="C137" t="s">
        <v>585</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Martha Stephanny Barreto Mantilla</cp:lastModifiedBy>
  <cp:revision/>
  <dcterms:created xsi:type="dcterms:W3CDTF">2016-04-29T15:58:00Z</dcterms:created>
  <dcterms:modified xsi:type="dcterms:W3CDTF">2018-02-01T22:09:12Z</dcterms:modified>
</cp:coreProperties>
</file>