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5" documentId="8_{64BB759B-6A71-4532-B8F0-43C819FD932D}" xr6:coauthVersionLast="47" xr6:coauthVersionMax="47" xr10:uidLastSave="{763ECFDC-D3F2-4B67-B2CA-866A5F968F53}"/>
  <bookViews>
    <workbookView xWindow="-120" yWindow="-120" windowWidth="29040" windowHeight="15840" xr2:uid="{00000000-000D-0000-FFFF-FFFF00000000}"/>
  </bookViews>
  <sheets>
    <sheet name="2021 Tunjuelit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4" i="1" l="1"/>
  <c r="AQ38" i="1"/>
  <c r="AR38" i="1" s="1"/>
  <c r="AQ37" i="1"/>
  <c r="AR37" i="1" s="1"/>
  <c r="AQ36" i="1"/>
  <c r="AR36" i="1" s="1"/>
  <c r="AR39" i="1"/>
  <c r="AR35" i="1"/>
  <c r="AQ35" i="1"/>
  <c r="AC39" i="1"/>
  <c r="AC38" i="1"/>
  <c r="AC37" i="1"/>
  <c r="AC36" i="1"/>
  <c r="AC35" i="1"/>
  <c r="AQ33" i="1"/>
  <c r="AR33" i="1" s="1"/>
  <c r="AQ32" i="1"/>
  <c r="AR32" i="1" s="1"/>
  <c r="AQ31" i="1"/>
  <c r="AR31" i="1" s="1"/>
  <c r="AQ30" i="1"/>
  <c r="AR30" i="1" s="1"/>
  <c r="AQ29" i="1"/>
  <c r="AR29" i="1" s="1"/>
  <c r="AQ28" i="1"/>
  <c r="AR28" i="1" s="1"/>
  <c r="AQ27" i="1"/>
  <c r="AR27" i="1" s="1"/>
  <c r="AQ26" i="1"/>
  <c r="AR26" i="1" s="1"/>
  <c r="AQ25" i="1"/>
  <c r="AR25" i="1" s="1"/>
  <c r="AR24" i="1"/>
  <c r="AR23" i="1"/>
  <c r="AR22" i="1"/>
  <c r="AR21" i="1"/>
  <c r="AR20" i="1"/>
  <c r="AR19" i="1"/>
  <c r="AR18" i="1"/>
  <c r="AR17" i="1"/>
  <c r="AM40" i="1" l="1"/>
  <c r="AH40" i="1"/>
  <c r="AC40" i="1"/>
  <c r="AM34" i="1"/>
  <c r="AM41" i="1" s="1"/>
  <c r="AH34" i="1"/>
  <c r="AH41" i="1" s="1"/>
  <c r="X40" i="1"/>
  <c r="AR40" i="1"/>
  <c r="AA27" i="1"/>
  <c r="AC27" i="1" s="1"/>
  <c r="AA28" i="1"/>
  <c r="AC28" i="1" s="1"/>
  <c r="AA29" i="1"/>
  <c r="AC29" i="1" s="1"/>
  <c r="AA30" i="1"/>
  <c r="AC30" i="1" s="1"/>
  <c r="AA31" i="1"/>
  <c r="AC31" i="1" s="1"/>
  <c r="AA32" i="1"/>
  <c r="AC32" i="1" s="1"/>
  <c r="AA33" i="1"/>
  <c r="AC33" i="1" s="1"/>
  <c r="AA19" i="1"/>
  <c r="AC19" i="1" s="1"/>
  <c r="E33" i="1"/>
  <c r="E32" i="1"/>
  <c r="E31" i="1"/>
  <c r="E30" i="1"/>
  <c r="E29" i="1"/>
  <c r="E28" i="1"/>
  <c r="E27" i="1"/>
  <c r="E26" i="1"/>
  <c r="E25" i="1"/>
  <c r="E24" i="1"/>
  <c r="E23" i="1"/>
  <c r="E22" i="1"/>
  <c r="E21" i="1"/>
  <c r="E20" i="1"/>
  <c r="E19" i="1"/>
  <c r="E18" i="1"/>
  <c r="E17" i="1"/>
  <c r="P33" i="1"/>
  <c r="P32" i="1"/>
  <c r="P31" i="1"/>
  <c r="P30" i="1"/>
  <c r="P29" i="1"/>
  <c r="P28" i="1"/>
  <c r="P27" i="1"/>
  <c r="L40" i="1"/>
  <c r="P40" i="1"/>
  <c r="O40" i="1"/>
  <c r="N40" i="1"/>
  <c r="M40" i="1"/>
  <c r="AP39" i="1"/>
  <c r="AP38" i="1"/>
  <c r="AP37" i="1"/>
  <c r="AP36" i="1"/>
  <c r="AP35" i="1"/>
  <c r="AP33" i="1"/>
  <c r="AP32" i="1"/>
  <c r="AP31" i="1"/>
  <c r="AP30" i="1"/>
  <c r="AP29" i="1"/>
  <c r="AP28" i="1"/>
  <c r="AP27" i="1"/>
  <c r="AP26" i="1"/>
  <c r="AP25" i="1"/>
  <c r="AP24" i="1"/>
  <c r="AP23" i="1"/>
  <c r="AP22" i="1"/>
  <c r="AP21" i="1"/>
  <c r="AP20" i="1"/>
  <c r="AP19" i="1"/>
  <c r="AP18" i="1"/>
  <c r="AP17" i="1"/>
  <c r="AK39" i="1"/>
  <c r="AK38" i="1"/>
  <c r="AK37" i="1"/>
  <c r="AK36" i="1"/>
  <c r="AK35" i="1"/>
  <c r="AK33" i="1"/>
  <c r="AK32" i="1"/>
  <c r="AK31" i="1"/>
  <c r="AK30" i="1"/>
  <c r="AK29" i="1"/>
  <c r="AK28" i="1"/>
  <c r="AK27" i="1"/>
  <c r="AK26" i="1"/>
  <c r="AK25" i="1"/>
  <c r="AK24" i="1"/>
  <c r="AK23" i="1"/>
  <c r="AK22" i="1"/>
  <c r="AK21" i="1"/>
  <c r="AK20" i="1"/>
  <c r="AK19" i="1"/>
  <c r="AK18" i="1"/>
  <c r="AK17" i="1"/>
  <c r="AF39" i="1"/>
  <c r="AF38" i="1"/>
  <c r="AF37" i="1"/>
  <c r="AF36" i="1"/>
  <c r="AF35" i="1"/>
  <c r="AF33" i="1"/>
  <c r="AF32" i="1"/>
  <c r="AF31" i="1"/>
  <c r="AF30" i="1"/>
  <c r="AF29" i="1"/>
  <c r="AF28" i="1"/>
  <c r="AF27" i="1"/>
  <c r="AF26" i="1"/>
  <c r="AF25" i="1"/>
  <c r="AF24" i="1"/>
  <c r="AF23" i="1"/>
  <c r="AF22" i="1"/>
  <c r="AF21" i="1"/>
  <c r="AF20" i="1"/>
  <c r="AF19" i="1"/>
  <c r="AF18" i="1"/>
  <c r="AF17" i="1"/>
  <c r="AA39" i="1"/>
  <c r="AA38" i="1"/>
  <c r="AA37" i="1"/>
  <c r="AA36" i="1"/>
  <c r="AA35" i="1"/>
  <c r="AA26" i="1"/>
  <c r="AC26" i="1" s="1"/>
  <c r="AA25" i="1"/>
  <c r="AC25" i="1" s="1"/>
  <c r="AA24" i="1"/>
  <c r="AC24" i="1" s="1"/>
  <c r="AA23" i="1"/>
  <c r="AC23" i="1" s="1"/>
  <c r="AA22" i="1"/>
  <c r="AC22" i="1" s="1"/>
  <c r="AA21" i="1"/>
  <c r="AC21" i="1" s="1"/>
  <c r="AA20" i="1"/>
  <c r="AC20" i="1" s="1"/>
  <c r="AC17" i="1"/>
  <c r="V39" i="1"/>
  <c r="V36" i="1"/>
  <c r="V33" i="1"/>
  <c r="X33" i="1"/>
  <c r="V32" i="1"/>
  <c r="X32" i="1"/>
  <c r="V31" i="1"/>
  <c r="X31" i="1"/>
  <c r="V30" i="1"/>
  <c r="X30" i="1"/>
  <c r="V29" i="1"/>
  <c r="V28" i="1"/>
  <c r="V27" i="1"/>
  <c r="V26" i="1"/>
  <c r="X26" i="1"/>
  <c r="V25" i="1"/>
  <c r="V24" i="1"/>
  <c r="X24" i="1"/>
  <c r="V23" i="1"/>
  <c r="V22" i="1"/>
  <c r="V21" i="1"/>
  <c r="V20" i="1"/>
  <c r="E34" i="1"/>
  <c r="E40" i="1"/>
  <c r="O41" i="1"/>
  <c r="X34" i="1"/>
  <c r="X41" i="1"/>
  <c r="AR34" i="1"/>
  <c r="P41" i="1"/>
  <c r="N41" i="1"/>
  <c r="M41" i="1"/>
  <c r="L41" i="1"/>
  <c r="E41" i="1"/>
  <c r="AR41" i="1" l="1"/>
  <c r="AC34" i="1"/>
  <c r="AC41" i="1" s="1"/>
</calcChain>
</file>

<file path=xl/sharedStrings.xml><?xml version="1.0" encoding="utf-8"?>
<sst xmlns="http://schemas.openxmlformats.org/spreadsheetml/2006/main" count="492" uniqueCount="273">
  <si>
    <r>
      <t xml:space="preserve">ALCALDÍA LOCAL DE </t>
    </r>
    <r>
      <rPr>
        <b/>
        <u/>
        <sz val="11"/>
        <color theme="1"/>
        <rFont val="Calibri Light"/>
        <family val="2"/>
        <scheme val="major"/>
      </rPr>
      <t>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</si>
  <si>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</si>
  <si>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</si>
  <si>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</si>
  <si>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</si>
  <si>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</si>
  <si>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</si>
  <si>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</si>
  <si>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</si>
  <si>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 xml:space="preserve">Publicación del plan de gestión aprobado. Caso HOLA: </t>
  </si>
  <si>
    <t>28 de abril de 2021</t>
  </si>
  <si>
    <t>Para el primer trimestre de la vigencia 2021, el plan de gestión de la Alcaldía Local alcanzó un nivel de desempeño del 73% de acuerdo con lo programado, y del 28%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</si>
  <si>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8 de julio de 2021</t>
  </si>
  <si>
    <t xml:space="preserve">Se realiza la modificación al plan de gestión de acuerdo con la solicitud de la Alcaldía Local y la autorización dada por la Subsecretaría de Gestión Local.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</si>
  <si>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</si>
  <si>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</si>
  <si>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</si>
  <si>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</si>
  <si>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</si>
  <si>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</si>
  <si>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</si>
  <si>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</si>
  <si>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</si>
  <si>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</si>
  <si>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</si>
  <si>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</si>
  <si>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</si>
  <si>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</si>
  <si>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</si>
  <si>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</si>
  <si>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</si>
  <si>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</si>
  <si>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</si>
  <si>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</si>
  <si>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</si>
  <si>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</si>
  <si>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</si>
  <si>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</si>
  <si>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</si>
  <si>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</si>
  <si>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</si>
  <si>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</si>
  <si>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</si>
  <si>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</si>
  <si>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</si>
  <si>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</si>
  <si>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</si>
  <si>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</si>
  <si>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</si>
  <si>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</si>
  <si>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</si>
  <si>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</si>
  <si>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</si>
  <si>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</si>
  <si>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</si>
  <si>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</si>
  <si>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</si>
  <si>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</si>
  <si>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</si>
  <si>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</si>
  <si>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</si>
  <si>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</si>
  <si>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</si>
  <si>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</si>
  <si>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</si>
  <si>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</si>
  <si>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2. Incrementar en 15</t>
    </r>
    <r>
      <rPr>
        <b/>
        <sz val="11"/>
        <color theme="1"/>
        <rFont val="Calibri Light"/>
        <family val="2"/>
        <scheme val="major"/>
      </rPr>
      <t xml:space="preserve">%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</si>
  <si>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</si>
  <si>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</si>
  <si>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</si>
  <si>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</si>
  <si>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</si>
  <si>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</si>
  <si>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</si>
  <si>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</si>
  <si>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</si>
  <si>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</si>
  <si>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</si>
  <si>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</si>
  <si>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</si>
  <si>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</si>
  <si>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</si>
  <si>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Ejecución presupuestal</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</si>
  <si>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</si>
  <si>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</si>
  <si>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</si>
  <si>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</si>
  <si>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</si>
  <si>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</si>
  <si>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</si>
  <si>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</si>
  <si>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Para el periodo se giró el 17,99% del presupuesto comprometido constituido como obligaciones por pagar de la vigencia 2020</t>
  </si>
  <si>
    <t>EJECUCIÓN PRESUPUESTAL A 31/03/2021
Soporte DGDL</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</si>
  <si>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</si>
  <si>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</si>
  <si>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</si>
  <si>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Para el periodo se giró el 30,83% del presupuesto comprometido constituido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</si>
  <si>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</si>
  <si>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</si>
  <si>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</si>
  <si>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</si>
  <si>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Para el periodo el FDL comprometió el 29% del presupuesto de inversión directa de la vigencia 2021.</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</si>
  <si>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</si>
  <si>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</si>
  <si>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</si>
  <si>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Para el periodo el FDL giró el  9% del presupuesto de inversión directa de la vigencia.</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</si>
  <si>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</si>
  <si>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</si>
  <si>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</si>
  <si>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</si>
  <si>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</si>
  <si>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De los 110 contratos en SECOP 84 se registraron en SIPSE se han presentado 15 casos HOLA para solucionar los inconvenientes de cargue</t>
  </si>
  <si>
    <t>Plaforma SIPSE y semaforo de seguimiento 
Reporte DGDL</t>
  </si>
  <si>
    <t>De los 147 contratos en SECOP 128 se registraron en SIPSE se han presentado casos HOLA para solucionar los inconvenientes de cargue, toda vez que el cargue se CRP se enruta a una estación diferente al usuario Financiero de la Alcaldia Local de Tunjuelito</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</si>
  <si>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</si>
  <si>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</si>
  <si>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</si>
  <si>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</si>
  <si>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</si>
  <si>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Del total de 84 contratos registrados en SIPSE el 64,28 se encuentran en estado de ejecución</t>
  </si>
  <si>
    <t>Plaforma SIPSE y semaforo de seguimiento</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</si>
  <si>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</si>
  <si>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</si>
  <si>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</si>
  <si>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</si>
  <si>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</si>
  <si>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</si>
  <si>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Inspección, vigilancia y control</t>
  </si>
  <si>
    <r>
      <t xml:space="preserve">11. Impulsar procesalmente (avocar, rechazar, enviar al competente y todo lo que derive del desarrollo de la actuación), </t>
    </r>
    <r>
      <rPr>
        <b/>
        <sz val="11"/>
        <color theme="1"/>
        <rFont val="Calibri Light"/>
        <family val="2"/>
        <scheme val="major"/>
      </rPr>
      <t>3.800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</si>
  <si>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</si>
  <si>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</si>
  <si>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</si>
  <si>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</si>
  <si>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</si>
  <si>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</si>
  <si>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Para el primer trimestre de 2021 se impulsó procesalmente 1.591 expedientes</t>
  </si>
  <si>
    <t>Reporte DGP</t>
  </si>
  <si>
    <r>
      <t xml:space="preserve">12. Proferir </t>
    </r>
    <r>
      <rPr>
        <b/>
        <sz val="11"/>
        <color theme="1"/>
        <rFont val="Calibri Light"/>
        <family val="2"/>
        <scheme val="major"/>
      </rPr>
      <t>2.340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</si>
  <si>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</si>
  <si>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</si>
  <si>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Fallos de fondo</t>
  </si>
  <si>
    <t>Para el primer trimestre de 2021 se profirieron 1.121 fallos en primera instancia</t>
  </si>
  <si>
    <r>
      <t xml:space="preserve">13. Terminar (archivar), </t>
    </r>
    <r>
      <rPr>
        <b/>
        <sz val="11"/>
        <color theme="1"/>
        <rFont val="Calibri Light"/>
        <family val="2"/>
        <scheme val="major"/>
      </rPr>
      <t xml:space="preserve">33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</si>
  <si>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</si>
  <si>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</si>
  <si>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</si>
  <si>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</si>
  <si>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</si>
  <si>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Para el primer trimestre de 2021 se terminaron 14 actuaciones administrativas</t>
  </si>
  <si>
    <r>
      <t xml:space="preserve">14. Terminar </t>
    </r>
    <r>
      <rPr>
        <b/>
        <sz val="11"/>
        <color theme="1"/>
        <rFont val="Calibri Light"/>
        <family val="2"/>
        <scheme val="major"/>
      </rPr>
      <t>30</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</si>
  <si>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</si>
  <si>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</si>
  <si>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Para el primer trimestre de 2021 se terminó 1 actuación administrativa en primera instancia</t>
  </si>
  <si>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</si>
  <si>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</si>
  <si>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</si>
  <si>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</si>
  <si>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</si>
  <si>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</si>
  <si>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4 operativos de inspección, vigilancia y control en materia de integridad del espacio público</t>
  </si>
  <si>
    <t>Operativos IVC 2021,PDF</t>
  </si>
  <si>
    <t>Se realizaron 12 operativos de inspección, vigilancia y control en materia de integridad del espacio público</t>
  </si>
  <si>
    <r>
      <t xml:space="preserve">16. Realizar </t>
    </r>
    <r>
      <rPr>
        <b/>
        <sz val="11"/>
        <color theme="1"/>
        <rFont val="Calibri Light"/>
        <family val="2"/>
        <scheme val="major"/>
      </rPr>
      <t>130</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</si>
  <si>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</si>
  <si>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</si>
  <si>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Se realizaron 3 operativos de inspección, vigilancia y control en materia de actividad económica </t>
  </si>
  <si>
    <t xml:space="preserve">Se realizaron 26 operativos de inspección, vigilancia y control en materia de actividad económica </t>
  </si>
  <si>
    <r>
      <t xml:space="preserve">17.Realizar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</si>
  <si>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</si>
  <si>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</si>
  <si>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Se realizaron 2 operativos de inspección, vigilancia y control en materia de obras y urbanismo </t>
  </si>
  <si>
    <t xml:space="preserve">Se realizaron 3 operativos de inspección, vigilancia y control en materia de obras y urbanismo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</si>
  <si>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</si>
  <si>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</si>
  <si>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</si>
  <si>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</si>
  <si>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</si>
  <si>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</si>
  <si>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</si>
  <si>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</si>
  <si>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</si>
  <si>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</si>
  <si>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</si>
  <si>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</si>
  <si>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</si>
  <si>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</si>
  <si>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</si>
  <si>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</si>
  <si>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</si>
  <si>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</si>
  <si>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</si>
  <si>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</si>
  <si>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</si>
  <si>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23 acciones de mejoramiento sin vencer</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</si>
  <si>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</si>
  <si>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</si>
  <si>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</si>
  <si>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</si>
  <si>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</si>
  <si>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</si>
  <si>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</si>
  <si>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</si>
  <si>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</si>
  <si>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</si>
  <si>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</si>
  <si>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</si>
  <si>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</si>
  <si>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</si>
  <si>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</si>
  <si>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</si>
  <si>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</si>
  <si>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</si>
  <si>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</si>
  <si>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</si>
  <si>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</si>
  <si>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</si>
  <si>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</si>
  <si>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</si>
  <si>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</si>
  <si>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</si>
  <si>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dado respuesta a 5.901 requerimientos ciudadanos correspondientes a las vigencias 2017 a 2020</t>
  </si>
  <si>
    <t>Reporte CRONOS</t>
  </si>
  <si>
    <t>Total metas transversales (20%)</t>
  </si>
  <si>
    <t xml:space="preserve">Total plan de gestión </t>
  </si>
  <si>
    <t>Reporte de ejecución de la meta aportado por la DGDL proveniente de la MUSI</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</si>
  <si>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0,9%. 
Nota: se ajusta la programación de la meta para el II Trimestre de 2021, dado que la información disponible corresponde al I Trimestre.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</si>
  <si>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0,9%. </t>
  </si>
  <si>
    <t>No programada para el II Trimestre de 2021. En este momento la Alcaldía Local se encuentra a la espera de los lineamientos por parte de la coordinación de presupuestos participativos, para iniciar su desarrollo.</t>
  </si>
  <si>
    <t>No programada para el II Trimestre de 2021</t>
  </si>
  <si>
    <t>La Alcaldía Local Tunjuelito giró $4.004.234.575 del presupuesto comprometido constituido como obligaciones por pagar de la vigencia 2020, equivalente a $13.522.429.123, lo cual corresponde a un nivel de ejecución del 29,61%.</t>
  </si>
  <si>
    <t>La Alcaldía Local Tunjuelito giró $4.004.234.575 del presupuesto comprometido constituido como obligaciones por pagar de la vigencia 2020, equivalente a $13.522.429.123, lo cual corresponde a un nivel de ejecución del 29,61%.
El FDLT se encuentra realizando las acciones tendientes al cumplimiento de la ejecución y giro de las Obligaciones por pagar de la vigencia 2020</t>
  </si>
  <si>
    <t>Reporte de seguimiento presentado por la Dirección para la Gestión del Desarrollo Local.</t>
  </si>
  <si>
    <t>Para el II Trimestre de 2021, la Alcaldía Local Tunjuelito ha girado $9.844.919.021 del presupuesto comprometido constituido como obligaciones por pagar de la vigencia 2019 y anteriores, equivalente a $16.037.605.073, lo que representa un nivel de ejecución del 61,39%.</t>
  </si>
  <si>
    <t xml:space="preserve">Para el II Trimestre de 2021, la Alcaldía Local de Tunjuelito comprometió $11.567.204.529 de los $25.190.864.000 asignados como presupuesto de inversión directa de la vigencia 2021, lo que representa un nivel de ejecución del 45,92%. </t>
  </si>
  <si>
    <t xml:space="preserve">La Alcaldía Local de Tunjuelito giró $5.279.084.836 de los $25.190.864.000 asignados como depuesto disponible de inversión directa de la vigencia, lo que representa un nivel de ejecución acumulado del 20,96%. </t>
  </si>
  <si>
    <t>La Alcaldía Local de Tunjuelito ha registrado 128 contratos de los 147 contratos publicados en la plataforma SECOP I y II, lo que representa un nivel de cumplimiento del 87,07% para el periodo. 
De los 147 contratos en SECOP, 128 se registraron en SIPSE; se han presentado casos HOLA para solucionar los inconvenientes de cargue, toda vez que el cargue se CRP se enruta a una estación diferente al usuario Financiero de la Alcaldia Local de Tunjuelito</t>
  </si>
  <si>
    <t>Plaforma SIPSE y semaforo de seguimiento 
Reporte DGDL
Reporte de seguimiento presentado por la Dirección para la Gestión del Desarrollo Local.</t>
  </si>
  <si>
    <t xml:space="preserve">La Alcaldía Local de Tunjuelito ha registrado 113 contratos en SIPSE Local en estado ejecución de los 133 contratos registrados en SIPSE Local, lo que equivale al 84,96%. </t>
  </si>
  <si>
    <t>La Alcaldía Local de Tunjuelito ha registrado 113 contratos en SIPSE Local en estado ejecución de los 133 contratos registrados en SIPSE Local, lo que equivale al 84,96%. La meta presenta un avance acumulado de 37,4%.</t>
  </si>
  <si>
    <t>La meta presenta un avance acumulado del 43,02%.</t>
  </si>
  <si>
    <t>Reporte de seguimiento presentado por la Dirección para la Gestión Policiva</t>
  </si>
  <si>
    <t xml:space="preserve">En el segundo trimestre de 2021, la alcaldía local de Tunjuelito impulsó procesalmente 1705 expedientes a cargo de las inspecciones de policía, lo que representa un resultado de 100% para el periodo. </t>
  </si>
  <si>
    <t xml:space="preserve">La alcaldía local de Tunjuelito impulsó procesalmente 3.296 expedientes a cargo de las inspecciones de policía, lo que representa un resultado acumulado del 86,74%. </t>
  </si>
  <si>
    <t xml:space="preserve">En el segundo trimestre de 2021, la alcaldía local de Tunjuelito profirió 774 fallos en primera instancia sobre los expedientes a cargo de las inspecciones de policía, lo que representa un resultado de 100% para el periodo. </t>
  </si>
  <si>
    <t xml:space="preserve">La alcaldía local de Tunjuelito profirió 1.895 fallos en primera instancia sobre los expedientes a cargo de las inspecciones de policía, lo que representa un resultado acumulado del 80,98%. </t>
  </si>
  <si>
    <t xml:space="preserve">En el II trimestre de 2021, la alcaldía local de Tunjuelito terminó 3 actuaciones administrativas, lo que representa un resultado de ___% para el periodo. </t>
  </si>
  <si>
    <t>La alcaldía local de Tunjuelito terminó 17 actuaciones administrativas, lo que representa un resultado acumulado del 51,52%</t>
  </si>
  <si>
    <t xml:space="preserve">En el segundo trimestre de 2021, la alcaldía local de Tunjuelito terminó 30 actuaciones administrativas en primera instancia, lo que representa un resultado de 100% para el periodo. </t>
  </si>
  <si>
    <t xml:space="preserve">La alcaldía local de Tunjuelito terminó 31 actuaciones administrativas en primera instancia, lo que representa un resultado acumulado del 100%. </t>
  </si>
  <si>
    <t>Se realizaron 16 operativos de inspección, vigilancia y control en materia de integridad del espacio público</t>
  </si>
  <si>
    <t xml:space="preserve">Se realizaron 29 operativos de inspección, vigilancia y control en materia de actividad económica </t>
  </si>
  <si>
    <t xml:space="preserve">Se realizaron 5 operativos de inspección, vigilancia y control en materia de obras y urbanismo </t>
  </si>
  <si>
    <t>Implementación del Sistema de Gestión Ambiental en un porcentaje de 68%, resultados obtenidos de la inspección ambiental realizada el 18 de mayo 2021, empleando el formato: PLE-PIN-F012 Formato inspecciones ambientales para verificación de implementación del plan institucional de gestión ambiental.</t>
  </si>
  <si>
    <t>Reporte de gestión ambiental OAP</t>
  </si>
  <si>
    <t xml:space="preserve">Implementación del Sistema de Gestión Ambiental en un porcentaje de 68%, resultados obtenidos de la inspección ambiental realizada el 18 de mayo 2021, empleando el formato: PLE-PIN-F012 Formato inspecciones ambientales para verificación de implementación del plan institucional de gestión ambiental. La meta presenta un resultado acumulado del 43%. </t>
  </si>
  <si>
    <t>La localidad tiene 47 acciones de las cuales 23 presentan vencimiento. El porcentaje que muestra el avance en el cierre o cumplimiento de acciones vencidas frente a las acciones asignadas en aplicativo MIMEC para los planes de mejora en ejecución.</t>
  </si>
  <si>
    <t>Reporte de acciones de mejora MIMEC.</t>
  </si>
  <si>
    <t xml:space="preserve">La localidad tiene 47 acciones de las cuales 23 presentan vencimiento. El porcentaje que muestra el avance en el cierre o cumplimiento de acciones vencidas frente a las acciones asignadas en aplicativo MIMEC para los planes de mejora en ejecución. La meta presenta un resultado acumulado del 38%. </t>
  </si>
  <si>
    <t>http://www.tunjuelito.gov.co/tabla_archivos/107-registro-publicaciones</t>
  </si>
  <si>
    <t xml:space="preserve">La Alcaldía Local Tunjuelito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 y del 32% para la vigencia. </t>
  </si>
  <si>
    <t>La Alcaldía Local Tunjuelito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</si>
  <si>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La alcaldía local de Tunjuelito asistió a la capacitación brindada a los promotores de mejora, en la que se brindaron lineamientos sobre la gestión de riesgos, planes de mejora, planeación institucional y PAAC.</t>
  </si>
  <si>
    <t xml:space="preserve">Registro de asistencia Teams. </t>
  </si>
  <si>
    <t xml:space="preserve">La Localidad de Tunjuelito ha atendido 5941 requerimientos ciudadanos, de los 6112 recibidos, lo que representa un 97,2% de gestión frente a la meta prevista. </t>
  </si>
  <si>
    <t>Reporte de atención de requerimientos ciudadanos Subsecretaría de Gestión Institucional</t>
  </si>
  <si>
    <t>La Alcaldía Local de Tunjuelito logró la ejecución de 8 propuestas ganadoras de presupuestos participativos (Fase II), de las 36 propuestas ganadoras.
Sin embargo, la alcaldía local de Tunjuelito manifiesta que se identificó que de las 36 iniciativas, 1 es por gestión, 2 son inviables y 4 fueron retiradas por los constructores, quedando 29 iniciativas vigentes, de las cuales 2 se encuentran en la fase de ejecución.</t>
  </si>
  <si>
    <t>La Alcaldía Local de Tunjuelito logró la ejecución de 8 propuestas ganadoras de presupuestos participativos (Fase II), de las 36 propuestas ganadoras.</t>
  </si>
  <si>
    <r>
      <t xml:space="preserve">3. Lograr que el </t>
    </r>
    <r>
      <rPr>
        <b/>
        <sz val="11"/>
        <rFont val="Calibri Light"/>
        <family val="2"/>
        <scheme val="major"/>
      </rPr>
      <t xml:space="preserve">100% </t>
    </r>
    <r>
      <rPr>
        <sz val="11"/>
        <rFont val="Calibri Light"/>
        <family val="2"/>
        <scheme val="major"/>
      </rPr>
      <t xml:space="preserve"> de las propuestas ganadoras (viables) de  presupuestos participativos (Fase II) cuenten con todos los recursos comprometidos en la vigencia.</t>
    </r>
  </si>
  <si>
    <t>30 de julio de 2021</t>
  </si>
  <si>
    <t>Para el segundo trimestre de la vigencia 2021, el plan de gestión de la Alcaldía Local alcanzó un nivel de desempeño del 82,13% de acuerdo con lo programado, y del 49,13% acumulado para la vigencia.</t>
  </si>
  <si>
    <t>La Alcaldía Local de Tunjuelito presenta un avance acumulado de la meta del 43,02%.</t>
  </si>
  <si>
    <t>24 de agosto de 2021</t>
  </si>
  <si>
    <t xml:space="preserve">Se ajusta el avance acumulado de la meta contenido en el capítulo de Evaluación Final, por error de digitación. El resultado acumulado de la vigencia es de 46,84%.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</si>
</sst>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b/>
      <sz val="11"/>
      <color rgb="FF0070C0"/>
      <name val="Calibri Light"/>
      <family val="2"/>
      <scheme val="major"/>
    </font>
    <font>
      <b/>
      <sz val="1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31">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1" fillId="0" borderId="0" xfId="0" applyFont="1" applyAlignment="1">
      <alignment vertical="center" wrapText="1"/>
    </xf>
    <xf numFmtId="9"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5" fillId="9" borderId="1" xfId="0" applyFont="1" applyFill="1" applyBorder="1" applyAlignment="1">
      <alignment horizontal="left" vertical="top" wrapText="1"/>
    </xf>
    <xf numFmtId="9" fontId="5" fillId="9" borderId="1" xfId="1" applyNumberFormat="1" applyFont="1" applyFill="1" applyBorder="1" applyAlignment="1">
      <alignment horizontal="right" vertical="top" wrapText="1"/>
    </xf>
    <xf numFmtId="9" fontId="5" fillId="9" borderId="1" xfId="1" applyFont="1" applyFill="1" applyBorder="1" applyAlignment="1">
      <alignment horizontal="right" vertical="top" wrapText="1"/>
    </xf>
    <xf numFmtId="9" fontId="5" fillId="9" borderId="1" xfId="0" applyNumberFormat="1" applyFont="1" applyFill="1" applyBorder="1" applyAlignment="1">
      <alignment horizontal="right" vertical="top" wrapText="1"/>
    </xf>
    <xf numFmtId="0" fontId="5" fillId="0" borderId="1" xfId="0" applyFont="1" applyBorder="1" applyAlignment="1">
      <alignment horizontal="left" vertical="top" wrapText="1"/>
    </xf>
    <xf numFmtId="0" fontId="5" fillId="9" borderId="1" xfId="0" applyFont="1" applyFill="1" applyBorder="1" applyAlignment="1" applyProtection="1">
      <alignment horizontal="left" vertical="top" wrapText="1"/>
      <protection locked="0"/>
    </xf>
    <xf numFmtId="9" fontId="5" fillId="9" borderId="1" xfId="0" applyNumberFormat="1" applyFont="1" applyFill="1" applyBorder="1" applyAlignment="1" applyProtection="1">
      <alignment horizontal="right" vertical="top" wrapText="1"/>
      <protection locked="0"/>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1"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xf numFmtId="9" fontId="7" fillId="3" borderId="1" xfId="1" applyFont="1" applyFill="1" applyBorder="1" applyAlignment="1">
      <alignment wrapText="1"/>
    </xf>
    <xf numFmtId="9" fontId="9" fillId="2" borderId="1" xfId="1" applyFont="1" applyFill="1" applyBorder="1" applyAlignment="1">
      <alignment wrapText="1"/>
    </xf>
    <xf numFmtId="10" fontId="1" fillId="0" borderId="1" xfId="0" applyNumberFormat="1" applyFont="1" applyBorder="1" applyAlignment="1">
      <alignment horizontal="left" vertical="top" wrapText="1"/>
    </xf>
    <xf numFmtId="9" fontId="1" fillId="0" borderId="1" xfId="1" applyFont="1" applyBorder="1" applyAlignment="1">
      <alignment horizontal="left" vertical="top" wrapText="1"/>
    </xf>
    <xf numFmtId="41" fontId="1" fillId="0" borderId="1" xfId="2" applyFont="1" applyBorder="1" applyAlignment="1">
      <alignment horizontal="left" vertical="top" wrapText="1"/>
    </xf>
    <xf numFmtId="41"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9" fontId="1" fillId="0" borderId="1" xfId="0" applyNumberFormat="1" applyFont="1" applyBorder="1" applyAlignment="1">
      <alignment horizontal="right" vertical="top"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41" fontId="1" fillId="0" borderId="1" xfId="2" applyFont="1" applyBorder="1" applyAlignment="1">
      <alignment vertical="top" wrapText="1"/>
    </xf>
    <xf numFmtId="10" fontId="1" fillId="0" borderId="1" xfId="1" applyNumberFormat="1" applyFont="1" applyBorder="1" applyAlignment="1">
      <alignment horizontal="right" vertical="top" wrapText="1"/>
    </xf>
    <xf numFmtId="0" fontId="1" fillId="0" borderId="1" xfId="0" applyFont="1" applyFill="1" applyBorder="1" applyAlignment="1">
      <alignment horizontal="left" vertical="top" wrapText="1"/>
    </xf>
    <xf numFmtId="9" fontId="1" fillId="0" borderId="1" xfId="0" applyNumberFormat="1" applyFont="1" applyFill="1" applyBorder="1" applyAlignment="1">
      <alignment horizontal="left" vertical="top" wrapText="1"/>
    </xf>
    <xf numFmtId="0" fontId="1" fillId="0" borderId="0" xfId="0" applyFont="1" applyAlignment="1">
      <alignment horizontal="center" vertical="top" wrapText="1"/>
    </xf>
    <xf numFmtId="9" fontId="1" fillId="0" borderId="1" xfId="0" applyNumberFormat="1" applyFont="1" applyBorder="1" applyAlignment="1">
      <alignment horizontal="center" vertical="top" wrapText="1"/>
    </xf>
    <xf numFmtId="1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41" fontId="1" fillId="0" borderId="1" xfId="2" applyFont="1" applyBorder="1" applyAlignment="1">
      <alignment horizontal="center" vertical="top" wrapText="1"/>
    </xf>
    <xf numFmtId="0" fontId="1" fillId="0" borderId="1" xfId="0" applyNumberFormat="1" applyFont="1" applyBorder="1" applyAlignment="1">
      <alignment horizontal="center" vertical="top" wrapText="1"/>
    </xf>
    <xf numFmtId="9" fontId="1" fillId="0" borderId="1" xfId="1" applyFont="1" applyBorder="1" applyAlignment="1">
      <alignment horizontal="center" vertical="top" wrapText="1"/>
    </xf>
    <xf numFmtId="0" fontId="1" fillId="0" borderId="1" xfId="0" applyFont="1" applyBorder="1" applyAlignment="1">
      <alignment horizontal="center" vertical="top" wrapText="1"/>
    </xf>
    <xf numFmtId="9" fontId="5" fillId="0" borderId="1" xfId="1" applyFont="1" applyBorder="1" applyAlignment="1">
      <alignment horizontal="center" vertical="top" wrapText="1"/>
    </xf>
    <xf numFmtId="9"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164" fontId="1" fillId="0" borderId="1" xfId="1" applyNumberFormat="1" applyFont="1" applyBorder="1" applyAlignment="1">
      <alignment horizontal="center" vertical="top" wrapText="1"/>
    </xf>
    <xf numFmtId="0" fontId="1" fillId="0" borderId="0" xfId="0" applyFont="1" applyAlignment="1">
      <alignment horizontal="justify"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9" fontId="5" fillId="0" borderId="1" xfId="1" applyFont="1" applyBorder="1" applyAlignment="1">
      <alignment horizontal="justify" vertical="top" wrapText="1"/>
    </xf>
    <xf numFmtId="0" fontId="5" fillId="0" borderId="1" xfId="0" applyFont="1" applyBorder="1" applyAlignment="1">
      <alignment horizontal="justify" vertical="top"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0" fontId="2" fillId="5" borderId="1" xfId="1" applyNumberFormat="1" applyFont="1" applyFill="1" applyBorder="1" applyAlignment="1">
      <alignment horizontal="center" vertical="center" wrapText="1"/>
    </xf>
    <xf numFmtId="10" fontId="1" fillId="0" borderId="0" xfId="1" applyNumberFormat="1" applyFont="1" applyAlignment="1">
      <alignment horizontal="center" wrapText="1"/>
    </xf>
    <xf numFmtId="10" fontId="1" fillId="0" borderId="0" xfId="1" applyNumberFormat="1" applyFont="1" applyAlignment="1">
      <alignment horizontal="center" vertical="center" wrapText="1"/>
    </xf>
    <xf numFmtId="10" fontId="1" fillId="0" borderId="1" xfId="1" applyNumberFormat="1" applyFont="1" applyBorder="1" applyAlignment="1">
      <alignment horizontal="center" vertical="top" wrapText="1"/>
    </xf>
    <xf numFmtId="10" fontId="5" fillId="0" borderId="1" xfId="1" applyNumberFormat="1" applyFont="1" applyBorder="1" applyAlignment="1">
      <alignment horizontal="center" vertical="top"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9" fontId="2" fillId="3" borderId="1" xfId="1" applyFont="1" applyFill="1" applyBorder="1" applyAlignment="1">
      <alignment horizontal="center" wrapText="1"/>
    </xf>
    <xf numFmtId="9" fontId="2" fillId="3" borderId="1" xfId="1" applyFont="1" applyFill="1" applyBorder="1" applyAlignment="1">
      <alignment horizontal="center" vertical="top" wrapText="1"/>
    </xf>
    <xf numFmtId="0" fontId="1" fillId="3" borderId="1" xfId="0" applyFont="1" applyFill="1" applyBorder="1" applyAlignment="1">
      <alignment wrapText="1"/>
    </xf>
    <xf numFmtId="9" fontId="2" fillId="3" borderId="1" xfId="1" applyFont="1" applyFill="1" applyBorder="1" applyAlignment="1">
      <alignment wrapText="1"/>
    </xf>
    <xf numFmtId="9" fontId="2" fillId="3" borderId="1" xfId="1" applyFont="1" applyFill="1" applyBorder="1" applyAlignment="1">
      <alignment horizontal="right" wrapText="1"/>
    </xf>
    <xf numFmtId="0" fontId="1" fillId="3" borderId="1" xfId="0" applyFont="1" applyFill="1" applyBorder="1" applyAlignment="1">
      <alignment horizontal="justify" wrapText="1"/>
    </xf>
    <xf numFmtId="9" fontId="12" fillId="3" borderId="1" xfId="0" applyNumberFormat="1" applyFont="1" applyFill="1" applyBorder="1" applyAlignment="1">
      <alignment horizontal="center" wrapText="1"/>
    </xf>
    <xf numFmtId="9" fontId="2" fillId="3" borderId="1" xfId="0" applyNumberFormat="1" applyFont="1" applyFill="1" applyBorder="1" applyAlignment="1">
      <alignment horizontal="center" vertical="top" wrapText="1"/>
    </xf>
    <xf numFmtId="9" fontId="12" fillId="3" borderId="1" xfId="0" applyNumberFormat="1" applyFont="1" applyFill="1" applyBorder="1" applyAlignment="1">
      <alignment wrapText="1"/>
    </xf>
    <xf numFmtId="9" fontId="12" fillId="3" borderId="1" xfId="0" applyNumberFormat="1" applyFont="1" applyFill="1" applyBorder="1" applyAlignment="1">
      <alignment horizontal="center" vertical="top" wrapText="1"/>
    </xf>
    <xf numFmtId="9" fontId="1" fillId="2" borderId="1" xfId="1" applyFont="1" applyFill="1" applyBorder="1" applyAlignment="1">
      <alignment horizontal="center" wrapText="1"/>
    </xf>
    <xf numFmtId="9" fontId="2" fillId="2" borderId="1" xfId="0" applyNumberFormat="1" applyFont="1" applyFill="1" applyBorder="1" applyAlignment="1">
      <alignment horizontal="center" vertical="top" wrapText="1"/>
    </xf>
    <xf numFmtId="0" fontId="1" fillId="2" borderId="1" xfId="0" applyFont="1" applyFill="1" applyBorder="1" applyAlignment="1">
      <alignment wrapText="1"/>
    </xf>
    <xf numFmtId="9" fontId="1" fillId="2" borderId="1" xfId="1" applyFont="1" applyFill="1" applyBorder="1" applyAlignment="1">
      <alignment wrapText="1"/>
    </xf>
    <xf numFmtId="9" fontId="1" fillId="2" borderId="1" xfId="1" applyFont="1" applyFill="1" applyBorder="1" applyAlignment="1">
      <alignment horizontal="center" vertical="top" wrapText="1"/>
    </xf>
    <xf numFmtId="0" fontId="1" fillId="2" borderId="1" xfId="0" applyFont="1" applyFill="1" applyBorder="1" applyAlignment="1">
      <alignment horizontal="justify" wrapText="1"/>
    </xf>
    <xf numFmtId="164" fontId="5" fillId="0" borderId="1" xfId="1" applyNumberFormat="1" applyFont="1" applyBorder="1" applyAlignment="1">
      <alignment horizontal="center" vertical="top" wrapText="1"/>
    </xf>
    <xf numFmtId="0" fontId="2" fillId="4"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10" fontId="3" fillId="0" borderId="1" xfId="1" applyNumberFormat="1" applyFont="1" applyBorder="1" applyAlignment="1">
      <alignment horizontal="right" vertical="top" wrapText="1"/>
    </xf>
    <xf numFmtId="9" fontId="3" fillId="0" borderId="1" xfId="0" applyNumberFormat="1" applyFont="1" applyBorder="1" applyAlignment="1">
      <alignment horizontal="left" vertical="top" wrapText="1"/>
    </xf>
    <xf numFmtId="9" fontId="3" fillId="0" borderId="1" xfId="0" applyNumberFormat="1" applyFont="1" applyFill="1" applyBorder="1" applyAlignment="1">
      <alignment horizontal="center" vertical="top" wrapText="1"/>
    </xf>
    <xf numFmtId="9" fontId="3" fillId="0" borderId="1" xfId="0" applyNumberFormat="1" applyFont="1" applyBorder="1" applyAlignment="1">
      <alignment horizontal="center" vertical="top" wrapText="1"/>
    </xf>
    <xf numFmtId="0" fontId="3" fillId="0" borderId="1" xfId="0" applyFont="1" applyFill="1" applyBorder="1" applyAlignment="1">
      <alignment horizontal="justify" vertical="top" wrapText="1"/>
    </xf>
    <xf numFmtId="10" fontId="3" fillId="0" borderId="1" xfId="0" applyNumberFormat="1" applyFont="1" applyBorder="1" applyAlignment="1">
      <alignment horizontal="center" vertical="top" wrapText="1"/>
    </xf>
    <xf numFmtId="10" fontId="3" fillId="0" borderId="1" xfId="1" applyNumberFormat="1" applyFont="1" applyBorder="1" applyAlignment="1">
      <alignment horizontal="center" vertical="top" wrapText="1"/>
    </xf>
    <xf numFmtId="9" fontId="3" fillId="0" borderId="1" xfId="0" applyNumberFormat="1" applyFont="1" applyBorder="1" applyAlignment="1">
      <alignment horizontal="right" vertical="top" wrapText="1"/>
    </xf>
    <xf numFmtId="0" fontId="3" fillId="0" borderId="1" xfId="0" applyFont="1" applyBorder="1" applyAlignment="1">
      <alignment horizontal="right" vertical="top" wrapText="1"/>
    </xf>
    <xf numFmtId="0" fontId="3" fillId="0" borderId="0" xfId="0" applyFont="1" applyAlignment="1">
      <alignment horizontal="left" vertical="top" wrapText="1"/>
    </xf>
    <xf numFmtId="0" fontId="2" fillId="5"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3" fillId="0" borderId="1" xfId="0" applyFont="1" applyBorder="1" applyAlignment="1">
      <alignment horizontal="justify" vertical="top" wrapText="1"/>
    </xf>
    <xf numFmtId="10" fontId="2" fillId="3" borderId="1" xfId="0" applyNumberFormat="1" applyFont="1" applyFill="1" applyBorder="1" applyAlignment="1">
      <alignment horizontal="center" vertical="top" wrapText="1"/>
    </xf>
    <xf numFmtId="10" fontId="2" fillId="2" borderId="1" xfId="0" applyNumberFormat="1" applyFont="1" applyFill="1" applyBorder="1" applyAlignment="1">
      <alignment horizontal="center" vertical="top" wrapText="1"/>
    </xf>
    <xf numFmtId="10" fontId="2" fillId="3" borderId="1" xfId="1" applyNumberFormat="1" applyFont="1" applyFill="1" applyBorder="1" applyAlignment="1">
      <alignment horizontal="center" vertical="top"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zoomScale="70" zoomScaleNormal="70" workbookViewId="0">
      <selection activeCell="F11" sqref="F1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0.8554687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39" customWidth="1"/>
    <col min="25" max="25" width="39.42578125" style="51" customWidth="1"/>
    <col min="26" max="26" width="19" style="51" customWidth="1"/>
    <col min="27" max="28" width="16.5703125" style="69" customWidth="1"/>
    <col min="29" max="29" width="16.5703125" style="61" customWidth="1"/>
    <col min="30" max="30" width="48.140625" style="51" customWidth="1"/>
    <col min="31" max="31" width="22.28515625" style="51" customWidth="1"/>
    <col min="32" max="41" width="16.5703125" style="1" hidden="1" customWidth="1"/>
    <col min="42" max="43" width="16.5703125" style="39" customWidth="1"/>
    <col min="44" max="44" width="21.5703125" style="39" customWidth="1"/>
    <col min="45" max="45" width="45" style="51" customWidth="1"/>
    <col min="46" max="16384" width="10.85546875" style="1"/>
  </cols>
  <sheetData>
    <row r="1" spans="1:45" ht="70.5" customHeight="1" x14ac:dyDescent="0.25">
      <c r="A1" s="124" t="s">
        <v>0</v>
      </c>
      <c r="B1" s="125"/>
      <c r="C1" s="125"/>
      <c r="D1" s="125"/>
      <c r="E1" s="125"/>
      <c r="F1" s="125"/>
      <c r="G1" s="125"/>
      <c r="H1" s="125"/>
      <c r="I1" s="125"/>
      <c r="J1" s="125"/>
      <c r="K1" s="125"/>
      <c r="L1" s="126" t="s">
        <v>1</v>
      </c>
      <c r="M1" s="126"/>
      <c r="N1" s="126"/>
      <c r="O1" s="126"/>
      <c r="P1" s="126"/>
    </row>
    <row r="2" spans="1:45" s="5" customFormat="1" ht="23.45" customHeight="1" x14ac:dyDescent="0.25">
      <c r="A2" s="127" t="s">
        <v>2</v>
      </c>
      <c r="B2" s="128"/>
      <c r="C2" s="128"/>
      <c r="D2" s="128"/>
      <c r="E2" s="128"/>
      <c r="F2" s="128"/>
      <c r="G2" s="128"/>
      <c r="H2" s="128"/>
      <c r="I2" s="128"/>
      <c r="J2" s="128"/>
      <c r="K2" s="128"/>
      <c r="L2" s="128"/>
      <c r="M2" s="128"/>
      <c r="N2" s="128"/>
      <c r="O2" s="128"/>
      <c r="P2" s="128"/>
      <c r="V2" s="39"/>
      <c r="W2" s="39"/>
      <c r="X2" s="39"/>
      <c r="Y2" s="52"/>
      <c r="Z2" s="52"/>
      <c r="AA2" s="70"/>
      <c r="AB2" s="70"/>
      <c r="AC2" s="62"/>
      <c r="AD2" s="52"/>
      <c r="AE2" s="52"/>
      <c r="AP2" s="39"/>
      <c r="AQ2" s="39"/>
      <c r="AR2" s="39"/>
      <c r="AS2" s="52"/>
    </row>
    <row r="4" spans="1:45" ht="29.1" customHeight="1" x14ac:dyDescent="0.25">
      <c r="A4" s="116" t="s">
        <v>3</v>
      </c>
      <c r="B4" s="116"/>
      <c r="C4" s="125" t="s">
        <v>4</v>
      </c>
      <c r="D4" s="125"/>
      <c r="F4" s="116" t="s">
        <v>5</v>
      </c>
      <c r="G4" s="116"/>
      <c r="H4" s="116"/>
      <c r="I4" s="116"/>
      <c r="J4" s="116"/>
      <c r="K4" s="116"/>
    </row>
    <row r="5" spans="1:45" x14ac:dyDescent="0.25">
      <c r="A5" s="116"/>
      <c r="B5" s="116"/>
      <c r="C5" s="125"/>
      <c r="D5" s="125"/>
      <c r="F5" s="2" t="s">
        <v>6</v>
      </c>
      <c r="G5" s="2" t="s">
        <v>7</v>
      </c>
      <c r="H5" s="117" t="s">
        <v>8</v>
      </c>
      <c r="I5" s="117"/>
      <c r="J5" s="117"/>
      <c r="K5" s="117"/>
    </row>
    <row r="6" spans="1:45" x14ac:dyDescent="0.25">
      <c r="A6" s="116"/>
      <c r="B6" s="116"/>
      <c r="C6" s="125"/>
      <c r="D6" s="125"/>
      <c r="F6" s="66">
        <v>1</v>
      </c>
      <c r="G6" s="66"/>
      <c r="H6" s="118" t="s">
        <v>9</v>
      </c>
      <c r="I6" s="118"/>
      <c r="J6" s="118"/>
      <c r="K6" s="118"/>
    </row>
    <row r="7" spans="1:45" ht="181.5" customHeight="1" x14ac:dyDescent="0.25">
      <c r="A7" s="116"/>
      <c r="B7" s="116"/>
      <c r="C7" s="125"/>
      <c r="D7" s="125"/>
      <c r="F7" s="66">
        <v>2</v>
      </c>
      <c r="G7" s="66" t="s">
        <v>10</v>
      </c>
      <c r="H7" s="119" t="s">
        <v>11</v>
      </c>
      <c r="I7" s="119"/>
      <c r="J7" s="119"/>
      <c r="K7" s="119"/>
    </row>
    <row r="8" spans="1:45" ht="45.75" customHeight="1" x14ac:dyDescent="0.25">
      <c r="A8" s="116"/>
      <c r="B8" s="116"/>
      <c r="C8" s="125"/>
      <c r="D8" s="125"/>
      <c r="F8" s="66">
        <v>3</v>
      </c>
      <c r="G8" s="66" t="s">
        <v>12</v>
      </c>
      <c r="H8" s="119" t="s">
        <v>13</v>
      </c>
      <c r="I8" s="119"/>
      <c r="J8" s="119"/>
      <c r="K8" s="119"/>
    </row>
    <row r="9" spans="1:45" ht="81.75" customHeight="1" x14ac:dyDescent="0.25">
      <c r="A9" s="58"/>
      <c r="B9" s="58"/>
      <c r="C9" s="58"/>
      <c r="D9" s="58"/>
      <c r="F9" s="93">
        <v>4</v>
      </c>
      <c r="G9" s="93" t="s">
        <v>268</v>
      </c>
      <c r="H9" s="119" t="s">
        <v>269</v>
      </c>
      <c r="I9" s="119"/>
      <c r="J9" s="119"/>
      <c r="K9" s="119"/>
    </row>
    <row r="10" spans="1:45" ht="49.5" customHeight="1" x14ac:dyDescent="0.25">
      <c r="A10" s="58"/>
      <c r="B10" s="58"/>
      <c r="C10" s="58"/>
      <c r="D10" s="58"/>
      <c r="F10" s="95">
        <v>5</v>
      </c>
      <c r="G10" s="129" t="s">
        <v>271</v>
      </c>
      <c r="H10" s="130" t="s">
        <v>272</v>
      </c>
      <c r="I10" s="130"/>
      <c r="J10" s="130"/>
      <c r="K10" s="130"/>
    </row>
    <row r="11" spans="1:45" x14ac:dyDescent="0.25">
      <c r="A11" s="58"/>
      <c r="B11" s="58"/>
      <c r="C11" s="58"/>
      <c r="D11" s="58"/>
      <c r="F11" s="58"/>
      <c r="G11" s="58"/>
      <c r="H11" s="59"/>
      <c r="I11" s="59"/>
      <c r="J11" s="59"/>
      <c r="K11" s="59"/>
    </row>
    <row r="12" spans="1:45" x14ac:dyDescent="0.25">
      <c r="A12" s="58"/>
      <c r="B12" s="58"/>
      <c r="C12" s="58"/>
      <c r="D12" s="58"/>
      <c r="F12" s="58"/>
      <c r="G12" s="58"/>
      <c r="H12" s="59"/>
      <c r="I12" s="59"/>
      <c r="J12" s="59"/>
      <c r="K12" s="59"/>
    </row>
    <row r="14" spans="1:45" ht="14.45" customHeight="1" x14ac:dyDescent="0.25">
      <c r="A14" s="116" t="s">
        <v>14</v>
      </c>
      <c r="B14" s="116"/>
      <c r="C14" s="116" t="s">
        <v>15</v>
      </c>
      <c r="D14" s="116" t="s">
        <v>16</v>
      </c>
      <c r="E14" s="116"/>
      <c r="F14" s="116"/>
      <c r="G14" s="116"/>
      <c r="H14" s="116"/>
      <c r="I14" s="116"/>
      <c r="J14" s="116"/>
      <c r="K14" s="116"/>
      <c r="L14" s="116"/>
      <c r="M14" s="116"/>
      <c r="N14" s="116"/>
      <c r="O14" s="116"/>
      <c r="P14" s="116"/>
      <c r="Q14" s="120" t="s">
        <v>17</v>
      </c>
      <c r="R14" s="120"/>
      <c r="S14" s="120"/>
      <c r="T14" s="120"/>
      <c r="U14" s="120"/>
      <c r="V14" s="115" t="s">
        <v>18</v>
      </c>
      <c r="W14" s="115"/>
      <c r="X14" s="115"/>
      <c r="Y14" s="115"/>
      <c r="Z14" s="115"/>
      <c r="AA14" s="121" t="s">
        <v>18</v>
      </c>
      <c r="AB14" s="121"/>
      <c r="AC14" s="121"/>
      <c r="AD14" s="121"/>
      <c r="AE14" s="121"/>
      <c r="AF14" s="122" t="s">
        <v>18</v>
      </c>
      <c r="AG14" s="122"/>
      <c r="AH14" s="122"/>
      <c r="AI14" s="122"/>
      <c r="AJ14" s="122"/>
      <c r="AK14" s="123" t="s">
        <v>18</v>
      </c>
      <c r="AL14" s="123"/>
      <c r="AM14" s="123"/>
      <c r="AN14" s="123"/>
      <c r="AO14" s="123"/>
      <c r="AP14" s="112" t="s">
        <v>19</v>
      </c>
      <c r="AQ14" s="113"/>
      <c r="AR14" s="113"/>
      <c r="AS14" s="114"/>
    </row>
    <row r="15" spans="1:45" ht="14.45" customHeight="1" x14ac:dyDescent="0.25">
      <c r="A15" s="116"/>
      <c r="B15" s="116"/>
      <c r="C15" s="116"/>
      <c r="D15" s="116"/>
      <c r="E15" s="116"/>
      <c r="F15" s="116"/>
      <c r="G15" s="116"/>
      <c r="H15" s="116"/>
      <c r="I15" s="116"/>
      <c r="J15" s="116"/>
      <c r="K15" s="116"/>
      <c r="L15" s="116"/>
      <c r="M15" s="116"/>
      <c r="N15" s="116"/>
      <c r="O15" s="116"/>
      <c r="P15" s="116"/>
      <c r="Q15" s="120"/>
      <c r="R15" s="120"/>
      <c r="S15" s="120"/>
      <c r="T15" s="120"/>
      <c r="U15" s="120"/>
      <c r="V15" s="115" t="s">
        <v>20</v>
      </c>
      <c r="W15" s="115"/>
      <c r="X15" s="115"/>
      <c r="Y15" s="115"/>
      <c r="Z15" s="115"/>
      <c r="AA15" s="121" t="s">
        <v>21</v>
      </c>
      <c r="AB15" s="121"/>
      <c r="AC15" s="121"/>
      <c r="AD15" s="121"/>
      <c r="AE15" s="121"/>
      <c r="AF15" s="122" t="s">
        <v>22</v>
      </c>
      <c r="AG15" s="122"/>
      <c r="AH15" s="122"/>
      <c r="AI15" s="122"/>
      <c r="AJ15" s="122"/>
      <c r="AK15" s="123" t="s">
        <v>23</v>
      </c>
      <c r="AL15" s="123"/>
      <c r="AM15" s="123"/>
      <c r="AN15" s="123"/>
      <c r="AO15" s="123"/>
      <c r="AP15" s="112" t="s">
        <v>24</v>
      </c>
      <c r="AQ15" s="113"/>
      <c r="AR15" s="113"/>
      <c r="AS15" s="114"/>
    </row>
    <row r="16" spans="1:45" ht="60" x14ac:dyDescent="0.25">
      <c r="A16" s="65" t="s">
        <v>25</v>
      </c>
      <c r="B16" s="65" t="s">
        <v>26</v>
      </c>
      <c r="C16" s="116"/>
      <c r="D16" s="65" t="s">
        <v>27</v>
      </c>
      <c r="E16" s="65" t="s">
        <v>28</v>
      </c>
      <c r="F16" s="65" t="s">
        <v>29</v>
      </c>
      <c r="G16" s="65" t="s">
        <v>30</v>
      </c>
      <c r="H16" s="65" t="s">
        <v>31</v>
      </c>
      <c r="I16" s="65" t="s">
        <v>32</v>
      </c>
      <c r="J16" s="65" t="s">
        <v>33</v>
      </c>
      <c r="K16" s="65" t="s">
        <v>34</v>
      </c>
      <c r="L16" s="65" t="s">
        <v>35</v>
      </c>
      <c r="M16" s="65" t="s">
        <v>36</v>
      </c>
      <c r="N16" s="65" t="s">
        <v>37</v>
      </c>
      <c r="O16" s="65" t="s">
        <v>38</v>
      </c>
      <c r="P16" s="65" t="s">
        <v>39</v>
      </c>
      <c r="Q16" s="68" t="s">
        <v>40</v>
      </c>
      <c r="R16" s="68" t="s">
        <v>41</v>
      </c>
      <c r="S16" s="68" t="s">
        <v>42</v>
      </c>
      <c r="T16" s="68" t="s">
        <v>43</v>
      </c>
      <c r="U16" s="68" t="s">
        <v>44</v>
      </c>
      <c r="V16" s="88" t="s">
        <v>45</v>
      </c>
      <c r="W16" s="88" t="s">
        <v>46</v>
      </c>
      <c r="X16" s="88" t="s">
        <v>47</v>
      </c>
      <c r="Y16" s="88" t="s">
        <v>48</v>
      </c>
      <c r="Z16" s="88" t="s">
        <v>49</v>
      </c>
      <c r="AA16" s="90" t="s">
        <v>45</v>
      </c>
      <c r="AB16" s="90" t="s">
        <v>46</v>
      </c>
      <c r="AC16" s="60" t="s">
        <v>47</v>
      </c>
      <c r="AD16" s="106" t="s">
        <v>48</v>
      </c>
      <c r="AE16" s="106" t="s">
        <v>49</v>
      </c>
      <c r="AF16" s="91" t="s">
        <v>45</v>
      </c>
      <c r="AG16" s="91" t="s">
        <v>46</v>
      </c>
      <c r="AH16" s="91" t="s">
        <v>47</v>
      </c>
      <c r="AI16" s="91" t="s">
        <v>48</v>
      </c>
      <c r="AJ16" s="91" t="s">
        <v>49</v>
      </c>
      <c r="AK16" s="92" t="s">
        <v>45</v>
      </c>
      <c r="AL16" s="92" t="s">
        <v>46</v>
      </c>
      <c r="AM16" s="92" t="s">
        <v>47</v>
      </c>
      <c r="AN16" s="92" t="s">
        <v>48</v>
      </c>
      <c r="AO16" s="92" t="s">
        <v>49</v>
      </c>
      <c r="AP16" s="3" t="s">
        <v>45</v>
      </c>
      <c r="AQ16" s="3" t="s">
        <v>46</v>
      </c>
      <c r="AR16" s="3" t="s">
        <v>47</v>
      </c>
      <c r="AS16" s="107" t="s">
        <v>50</v>
      </c>
    </row>
    <row r="17" spans="1:45" s="7" customFormat="1" ht="285" x14ac:dyDescent="0.25">
      <c r="A17" s="67">
        <v>4</v>
      </c>
      <c r="B17" s="67" t="s">
        <v>51</v>
      </c>
      <c r="C17" s="67" t="s">
        <v>52</v>
      </c>
      <c r="D17" s="67" t="s">
        <v>53</v>
      </c>
      <c r="E17" s="36">
        <f>+((1/17)*80%)/100%</f>
        <v>4.7058823529411764E-2</v>
      </c>
      <c r="F17" s="67" t="s">
        <v>54</v>
      </c>
      <c r="G17" s="67" t="s">
        <v>55</v>
      </c>
      <c r="H17" s="67" t="s">
        <v>56</v>
      </c>
      <c r="I17" s="27">
        <v>6.6000000000000003E-2</v>
      </c>
      <c r="J17" s="67" t="s">
        <v>57</v>
      </c>
      <c r="K17" s="67" t="s">
        <v>58</v>
      </c>
      <c r="L17" s="6">
        <v>0</v>
      </c>
      <c r="M17" s="6">
        <v>0.02</v>
      </c>
      <c r="N17" s="6">
        <v>0.06</v>
      </c>
      <c r="O17" s="6">
        <v>0.1</v>
      </c>
      <c r="P17" s="6">
        <v>0.1</v>
      </c>
      <c r="Q17" s="67" t="s">
        <v>59</v>
      </c>
      <c r="R17" s="67" t="s">
        <v>60</v>
      </c>
      <c r="S17" s="67" t="s">
        <v>61</v>
      </c>
      <c r="T17" s="67" t="s">
        <v>62</v>
      </c>
      <c r="U17" s="67" t="s">
        <v>63</v>
      </c>
      <c r="V17" s="40" t="s">
        <v>64</v>
      </c>
      <c r="W17" s="40" t="s">
        <v>64</v>
      </c>
      <c r="X17" s="40" t="s">
        <v>64</v>
      </c>
      <c r="Y17" s="53" t="s">
        <v>65</v>
      </c>
      <c r="Z17" s="53" t="s">
        <v>64</v>
      </c>
      <c r="AA17" s="42">
        <v>8.9999999999999993E-3</v>
      </c>
      <c r="AB17" s="50">
        <v>8.9999999999999993E-3</v>
      </c>
      <c r="AC17" s="63">
        <f>IF((AB17/AA17)&gt;100%,100%,AB17/AA17)</f>
        <v>1</v>
      </c>
      <c r="AD17" s="55" t="s">
        <v>225</v>
      </c>
      <c r="AE17" s="55" t="s">
        <v>224</v>
      </c>
      <c r="AF17" s="32">
        <f>N17</f>
        <v>0.06</v>
      </c>
      <c r="AG17" s="31"/>
      <c r="AH17" s="94"/>
      <c r="AI17" s="94"/>
      <c r="AJ17" s="94"/>
      <c r="AK17" s="32">
        <f>O17</f>
        <v>0.1</v>
      </c>
      <c r="AL17" s="31"/>
      <c r="AM17" s="94"/>
      <c r="AN17" s="94"/>
      <c r="AO17" s="94"/>
      <c r="AP17" s="40">
        <f>P17</f>
        <v>0.1</v>
      </c>
      <c r="AQ17" s="42">
        <v>8.9999999999999993E-3</v>
      </c>
      <c r="AR17" s="63">
        <f>IF((AQ17/AP17)&gt;100%,100%,AQ17/AP17)</f>
        <v>8.9999999999999983E-2</v>
      </c>
      <c r="AS17" s="53" t="s">
        <v>226</v>
      </c>
    </row>
    <row r="18" spans="1:45" s="7" customFormat="1" ht="81" customHeight="1" x14ac:dyDescent="0.25">
      <c r="A18" s="67">
        <v>4</v>
      </c>
      <c r="B18" s="67" t="s">
        <v>51</v>
      </c>
      <c r="C18" s="67" t="s">
        <v>52</v>
      </c>
      <c r="D18" s="37" t="s">
        <v>66</v>
      </c>
      <c r="E18" s="36">
        <f t="shared" ref="E18:E33" si="0">+((1/17)*80%)/100%</f>
        <v>4.7058823529411764E-2</v>
      </c>
      <c r="F18" s="67" t="s">
        <v>54</v>
      </c>
      <c r="G18" s="67" t="s">
        <v>67</v>
      </c>
      <c r="H18" s="67" t="s">
        <v>68</v>
      </c>
      <c r="I18" s="67" t="s">
        <v>69</v>
      </c>
      <c r="J18" s="67" t="s">
        <v>70</v>
      </c>
      <c r="K18" s="67" t="s">
        <v>58</v>
      </c>
      <c r="L18" s="6">
        <v>0</v>
      </c>
      <c r="M18" s="6">
        <v>0</v>
      </c>
      <c r="N18" s="6">
        <v>0</v>
      </c>
      <c r="O18" s="38">
        <v>0.15</v>
      </c>
      <c r="P18" s="38">
        <v>0.1</v>
      </c>
      <c r="Q18" s="67" t="s">
        <v>59</v>
      </c>
      <c r="R18" s="67" t="s">
        <v>71</v>
      </c>
      <c r="S18" s="67" t="s">
        <v>72</v>
      </c>
      <c r="T18" s="67" t="s">
        <v>62</v>
      </c>
      <c r="U18" s="67" t="s">
        <v>73</v>
      </c>
      <c r="V18" s="40" t="s">
        <v>64</v>
      </c>
      <c r="W18" s="40" t="s">
        <v>64</v>
      </c>
      <c r="X18" s="40" t="s">
        <v>64</v>
      </c>
      <c r="Y18" s="53" t="s">
        <v>65</v>
      </c>
      <c r="Z18" s="53" t="s">
        <v>64</v>
      </c>
      <c r="AA18" s="40" t="s">
        <v>64</v>
      </c>
      <c r="AB18" s="40" t="s">
        <v>64</v>
      </c>
      <c r="AC18" s="41" t="s">
        <v>64</v>
      </c>
      <c r="AD18" s="55" t="s">
        <v>227</v>
      </c>
      <c r="AE18" s="53" t="s">
        <v>64</v>
      </c>
      <c r="AF18" s="32">
        <f t="shared" ref="AF18:AF39" si="1">N18</f>
        <v>0</v>
      </c>
      <c r="AG18" s="31"/>
      <c r="AH18" s="94"/>
      <c r="AI18" s="94"/>
      <c r="AJ18" s="94"/>
      <c r="AK18" s="32">
        <f t="shared" ref="AK18:AK39" si="2">O18</f>
        <v>0.15</v>
      </c>
      <c r="AL18" s="31"/>
      <c r="AM18" s="94"/>
      <c r="AN18" s="94"/>
      <c r="AO18" s="94"/>
      <c r="AP18" s="40">
        <f t="shared" ref="AP18:AP39" si="3">P18</f>
        <v>0.1</v>
      </c>
      <c r="AQ18" s="40">
        <v>0</v>
      </c>
      <c r="AR18" s="63">
        <f t="shared" ref="AR18:AR39" si="4">IF((AQ18/AP18)&gt;100%,100%,AQ18/AP18)</f>
        <v>0</v>
      </c>
      <c r="AS18" s="53" t="s">
        <v>228</v>
      </c>
    </row>
    <row r="19" spans="1:45" s="105" customFormat="1" ht="150" x14ac:dyDescent="0.25">
      <c r="A19" s="4">
        <v>4</v>
      </c>
      <c r="B19" s="4" t="s">
        <v>51</v>
      </c>
      <c r="C19" s="4" t="s">
        <v>52</v>
      </c>
      <c r="D19" s="4" t="s">
        <v>267</v>
      </c>
      <c r="E19" s="96">
        <f t="shared" si="0"/>
        <v>4.7058823529411764E-2</v>
      </c>
      <c r="F19" s="4" t="s">
        <v>74</v>
      </c>
      <c r="G19" s="4" t="s">
        <v>75</v>
      </c>
      <c r="H19" s="4" t="s">
        <v>76</v>
      </c>
      <c r="I19" s="4" t="s">
        <v>69</v>
      </c>
      <c r="J19" s="4" t="s">
        <v>57</v>
      </c>
      <c r="K19" s="4" t="s">
        <v>58</v>
      </c>
      <c r="L19" s="97">
        <v>0.05</v>
      </c>
      <c r="M19" s="97">
        <v>0.4</v>
      </c>
      <c r="N19" s="97">
        <v>0.8</v>
      </c>
      <c r="O19" s="97">
        <v>1</v>
      </c>
      <c r="P19" s="97">
        <v>1</v>
      </c>
      <c r="Q19" s="4" t="s">
        <v>59</v>
      </c>
      <c r="R19" s="4" t="s">
        <v>77</v>
      </c>
      <c r="S19" s="4" t="s">
        <v>78</v>
      </c>
      <c r="T19" s="4" t="s">
        <v>62</v>
      </c>
      <c r="U19" s="4" t="s">
        <v>79</v>
      </c>
      <c r="V19" s="98">
        <v>0.05</v>
      </c>
      <c r="W19" s="99">
        <v>0</v>
      </c>
      <c r="X19" s="98">
        <v>0</v>
      </c>
      <c r="Y19" s="100" t="s">
        <v>80</v>
      </c>
      <c r="Z19" s="100" t="s">
        <v>81</v>
      </c>
      <c r="AA19" s="99">
        <f t="shared" ref="AA19:AA39" si="5">M19</f>
        <v>0.4</v>
      </c>
      <c r="AB19" s="101">
        <v>0.22220000000000001</v>
      </c>
      <c r="AC19" s="102">
        <f t="shared" ref="AC19:AC39" si="6">IF((AB19/AA19)&gt;100%,100%,AB19/AA19)</f>
        <v>0.55549999999999999</v>
      </c>
      <c r="AD19" s="100" t="s">
        <v>265</v>
      </c>
      <c r="AE19" s="108" t="s">
        <v>82</v>
      </c>
      <c r="AF19" s="103">
        <f t="shared" si="1"/>
        <v>0.8</v>
      </c>
      <c r="AG19" s="104"/>
      <c r="AH19" s="4"/>
      <c r="AI19" s="4"/>
      <c r="AJ19" s="4"/>
      <c r="AK19" s="103">
        <f t="shared" si="2"/>
        <v>1</v>
      </c>
      <c r="AL19" s="104"/>
      <c r="AM19" s="4"/>
      <c r="AN19" s="4"/>
      <c r="AO19" s="4"/>
      <c r="AP19" s="99">
        <f t="shared" si="3"/>
        <v>1</v>
      </c>
      <c r="AQ19" s="101">
        <v>0.22220000000000001</v>
      </c>
      <c r="AR19" s="102">
        <f t="shared" si="4"/>
        <v>0.22220000000000001</v>
      </c>
      <c r="AS19" s="100" t="s">
        <v>266</v>
      </c>
    </row>
    <row r="20" spans="1:45" s="7" customFormat="1" ht="138" customHeight="1" x14ac:dyDescent="0.25">
      <c r="A20" s="67">
        <v>4</v>
      </c>
      <c r="B20" s="67" t="s">
        <v>51</v>
      </c>
      <c r="C20" s="67" t="s">
        <v>83</v>
      </c>
      <c r="D20" s="67" t="s">
        <v>84</v>
      </c>
      <c r="E20" s="36">
        <f t="shared" si="0"/>
        <v>4.7058823529411764E-2</v>
      </c>
      <c r="F20" s="67" t="s">
        <v>54</v>
      </c>
      <c r="G20" s="67" t="s">
        <v>85</v>
      </c>
      <c r="H20" s="67" t="s">
        <v>86</v>
      </c>
      <c r="I20" s="6">
        <v>0.5</v>
      </c>
      <c r="J20" s="67" t="s">
        <v>57</v>
      </c>
      <c r="K20" s="67" t="s">
        <v>58</v>
      </c>
      <c r="L20" s="6">
        <v>0.15</v>
      </c>
      <c r="M20" s="6">
        <v>0.3</v>
      </c>
      <c r="N20" s="28">
        <v>0.45</v>
      </c>
      <c r="O20" s="28">
        <v>0.6</v>
      </c>
      <c r="P20" s="6">
        <v>0.6</v>
      </c>
      <c r="Q20" s="67" t="s">
        <v>87</v>
      </c>
      <c r="R20" s="67" t="s">
        <v>88</v>
      </c>
      <c r="S20" s="67" t="s">
        <v>89</v>
      </c>
      <c r="T20" s="67" t="s">
        <v>62</v>
      </c>
      <c r="U20" s="67" t="s">
        <v>90</v>
      </c>
      <c r="V20" s="40">
        <f t="shared" ref="V20:V33" si="7">L20</f>
        <v>0.15</v>
      </c>
      <c r="W20" s="41">
        <v>0.1799</v>
      </c>
      <c r="X20" s="40">
        <v>1</v>
      </c>
      <c r="Y20" s="55" t="s">
        <v>91</v>
      </c>
      <c r="Z20" s="55" t="s">
        <v>92</v>
      </c>
      <c r="AA20" s="40">
        <f t="shared" si="5"/>
        <v>0.3</v>
      </c>
      <c r="AB20" s="63">
        <v>0.29609999999999997</v>
      </c>
      <c r="AC20" s="63">
        <f t="shared" si="6"/>
        <v>0.98699999999999999</v>
      </c>
      <c r="AD20" s="53" t="s">
        <v>230</v>
      </c>
      <c r="AE20" s="53" t="s">
        <v>231</v>
      </c>
      <c r="AF20" s="32">
        <f t="shared" si="1"/>
        <v>0.45</v>
      </c>
      <c r="AG20" s="31"/>
      <c r="AH20" s="94"/>
      <c r="AI20" s="94"/>
      <c r="AJ20" s="94"/>
      <c r="AK20" s="32">
        <f t="shared" si="2"/>
        <v>0.6</v>
      </c>
      <c r="AL20" s="31"/>
      <c r="AM20" s="94"/>
      <c r="AN20" s="94"/>
      <c r="AO20" s="94"/>
      <c r="AP20" s="40">
        <f t="shared" si="3"/>
        <v>0.6</v>
      </c>
      <c r="AQ20" s="41">
        <v>0.29609999999999997</v>
      </c>
      <c r="AR20" s="63">
        <f t="shared" si="4"/>
        <v>0.49349999999999999</v>
      </c>
      <c r="AS20" s="55" t="s">
        <v>229</v>
      </c>
    </row>
    <row r="21" spans="1:45" s="7" customFormat="1" ht="105" x14ac:dyDescent="0.25">
      <c r="A21" s="67">
        <v>4</v>
      </c>
      <c r="B21" s="67" t="s">
        <v>51</v>
      </c>
      <c r="C21" s="67" t="s">
        <v>83</v>
      </c>
      <c r="D21" s="67" t="s">
        <v>93</v>
      </c>
      <c r="E21" s="36">
        <f t="shared" si="0"/>
        <v>4.7058823529411764E-2</v>
      </c>
      <c r="F21" s="67" t="s">
        <v>54</v>
      </c>
      <c r="G21" s="67" t="s">
        <v>94</v>
      </c>
      <c r="H21" s="67" t="s">
        <v>95</v>
      </c>
      <c r="I21" s="6">
        <v>0.6</v>
      </c>
      <c r="J21" s="67" t="s">
        <v>57</v>
      </c>
      <c r="K21" s="67" t="s">
        <v>58</v>
      </c>
      <c r="L21" s="6">
        <v>0.15</v>
      </c>
      <c r="M21" s="6">
        <v>0.3</v>
      </c>
      <c r="N21" s="28">
        <v>0.45</v>
      </c>
      <c r="O21" s="28">
        <v>0.6</v>
      </c>
      <c r="P21" s="6">
        <v>0.6</v>
      </c>
      <c r="Q21" s="67" t="s">
        <v>87</v>
      </c>
      <c r="R21" s="67" t="s">
        <v>88</v>
      </c>
      <c r="S21" s="67" t="s">
        <v>89</v>
      </c>
      <c r="T21" s="67" t="s">
        <v>62</v>
      </c>
      <c r="U21" s="67" t="s">
        <v>90</v>
      </c>
      <c r="V21" s="40">
        <f t="shared" si="7"/>
        <v>0.15</v>
      </c>
      <c r="W21" s="41">
        <v>0.30830000000000002</v>
      </c>
      <c r="X21" s="40">
        <v>1</v>
      </c>
      <c r="Y21" s="55" t="s">
        <v>96</v>
      </c>
      <c r="Z21" s="55" t="s">
        <v>92</v>
      </c>
      <c r="AA21" s="40">
        <f t="shared" si="5"/>
        <v>0.3</v>
      </c>
      <c r="AB21" s="63">
        <v>0.6139</v>
      </c>
      <c r="AC21" s="63">
        <f t="shared" si="6"/>
        <v>1</v>
      </c>
      <c r="AD21" s="55" t="s">
        <v>232</v>
      </c>
      <c r="AE21" s="55" t="s">
        <v>231</v>
      </c>
      <c r="AF21" s="32">
        <f t="shared" si="1"/>
        <v>0.45</v>
      </c>
      <c r="AG21" s="31"/>
      <c r="AH21" s="94"/>
      <c r="AI21" s="94"/>
      <c r="AJ21" s="94"/>
      <c r="AK21" s="32">
        <f t="shared" si="2"/>
        <v>0.6</v>
      </c>
      <c r="AL21" s="31"/>
      <c r="AM21" s="94"/>
      <c r="AN21" s="94"/>
      <c r="AO21" s="94"/>
      <c r="AP21" s="40">
        <f t="shared" si="3"/>
        <v>0.6</v>
      </c>
      <c r="AQ21" s="63">
        <v>0.6139</v>
      </c>
      <c r="AR21" s="63">
        <f t="shared" si="4"/>
        <v>1</v>
      </c>
      <c r="AS21" s="55" t="s">
        <v>232</v>
      </c>
    </row>
    <row r="22" spans="1:45" s="7" customFormat="1" ht="90" x14ac:dyDescent="0.25">
      <c r="A22" s="67">
        <v>4</v>
      </c>
      <c r="B22" s="67" t="s">
        <v>51</v>
      </c>
      <c r="C22" s="67" t="s">
        <v>83</v>
      </c>
      <c r="D22" s="67" t="s">
        <v>97</v>
      </c>
      <c r="E22" s="36">
        <f t="shared" si="0"/>
        <v>4.7058823529411764E-2</v>
      </c>
      <c r="F22" s="67" t="s">
        <v>74</v>
      </c>
      <c r="G22" s="67" t="s">
        <v>98</v>
      </c>
      <c r="H22" s="67" t="s">
        <v>99</v>
      </c>
      <c r="I22" s="67"/>
      <c r="J22" s="67" t="s">
        <v>57</v>
      </c>
      <c r="K22" s="67" t="s">
        <v>58</v>
      </c>
      <c r="L22" s="6">
        <v>0.1</v>
      </c>
      <c r="M22" s="6">
        <v>0.25</v>
      </c>
      <c r="N22" s="6">
        <v>0.65</v>
      </c>
      <c r="O22" s="6">
        <v>0.95</v>
      </c>
      <c r="P22" s="6">
        <v>0.95</v>
      </c>
      <c r="Q22" s="67" t="s">
        <v>87</v>
      </c>
      <c r="R22" s="67" t="s">
        <v>88</v>
      </c>
      <c r="S22" s="67" t="s">
        <v>89</v>
      </c>
      <c r="T22" s="67" t="s">
        <v>62</v>
      </c>
      <c r="U22" s="67" t="s">
        <v>100</v>
      </c>
      <c r="V22" s="40">
        <f t="shared" si="7"/>
        <v>0.1</v>
      </c>
      <c r="W22" s="40">
        <v>0.28999999999999998</v>
      </c>
      <c r="X22" s="40">
        <v>1</v>
      </c>
      <c r="Y22" s="55" t="s">
        <v>101</v>
      </c>
      <c r="Z22" s="55" t="s">
        <v>92</v>
      </c>
      <c r="AA22" s="40">
        <f t="shared" si="5"/>
        <v>0.25</v>
      </c>
      <c r="AB22" s="63">
        <v>0.4592</v>
      </c>
      <c r="AC22" s="63">
        <f t="shared" si="6"/>
        <v>1</v>
      </c>
      <c r="AD22" s="55" t="s">
        <v>233</v>
      </c>
      <c r="AE22" s="55" t="s">
        <v>231</v>
      </c>
      <c r="AF22" s="32">
        <f t="shared" si="1"/>
        <v>0.65</v>
      </c>
      <c r="AG22" s="31"/>
      <c r="AH22" s="94"/>
      <c r="AI22" s="94"/>
      <c r="AJ22" s="94"/>
      <c r="AK22" s="32">
        <f t="shared" si="2"/>
        <v>0.95</v>
      </c>
      <c r="AL22" s="31"/>
      <c r="AM22" s="94"/>
      <c r="AN22" s="94"/>
      <c r="AO22" s="94"/>
      <c r="AP22" s="40">
        <f t="shared" si="3"/>
        <v>0.95</v>
      </c>
      <c r="AQ22" s="41">
        <v>0.4592</v>
      </c>
      <c r="AR22" s="63">
        <f t="shared" si="4"/>
        <v>0.48336842105263161</v>
      </c>
      <c r="AS22" s="55" t="s">
        <v>233</v>
      </c>
    </row>
    <row r="23" spans="1:45" s="7" customFormat="1" ht="90" x14ac:dyDescent="0.25">
      <c r="A23" s="67">
        <v>4</v>
      </c>
      <c r="B23" s="67" t="s">
        <v>51</v>
      </c>
      <c r="C23" s="67" t="s">
        <v>83</v>
      </c>
      <c r="D23" s="37" t="s">
        <v>102</v>
      </c>
      <c r="E23" s="36">
        <f t="shared" si="0"/>
        <v>4.7058823529411764E-2</v>
      </c>
      <c r="F23" s="67" t="s">
        <v>54</v>
      </c>
      <c r="G23" s="67" t="s">
        <v>103</v>
      </c>
      <c r="H23" s="67" t="s">
        <v>104</v>
      </c>
      <c r="I23" s="67"/>
      <c r="J23" s="67" t="s">
        <v>57</v>
      </c>
      <c r="K23" s="67" t="s">
        <v>58</v>
      </c>
      <c r="L23" s="6">
        <v>0.02</v>
      </c>
      <c r="M23" s="6">
        <v>0.1</v>
      </c>
      <c r="N23" s="6">
        <v>0.2</v>
      </c>
      <c r="O23" s="6">
        <v>0.4</v>
      </c>
      <c r="P23" s="6">
        <v>0.4</v>
      </c>
      <c r="Q23" s="67" t="s">
        <v>87</v>
      </c>
      <c r="R23" s="67" t="s">
        <v>88</v>
      </c>
      <c r="S23" s="67" t="s">
        <v>89</v>
      </c>
      <c r="T23" s="67" t="s">
        <v>62</v>
      </c>
      <c r="U23" s="67" t="s">
        <v>100</v>
      </c>
      <c r="V23" s="40">
        <f t="shared" si="7"/>
        <v>0.02</v>
      </c>
      <c r="W23" s="41">
        <v>0.09</v>
      </c>
      <c r="X23" s="40">
        <v>1</v>
      </c>
      <c r="Y23" s="55" t="s">
        <v>105</v>
      </c>
      <c r="Z23" s="55" t="s">
        <v>92</v>
      </c>
      <c r="AA23" s="40">
        <f t="shared" si="5"/>
        <v>0.1</v>
      </c>
      <c r="AB23" s="63">
        <v>0.20960000000000001</v>
      </c>
      <c r="AC23" s="63">
        <f t="shared" si="6"/>
        <v>1</v>
      </c>
      <c r="AD23" s="55" t="s">
        <v>234</v>
      </c>
      <c r="AE23" s="55" t="s">
        <v>231</v>
      </c>
      <c r="AF23" s="32">
        <f t="shared" si="1"/>
        <v>0.2</v>
      </c>
      <c r="AG23" s="31"/>
      <c r="AH23" s="94"/>
      <c r="AI23" s="94"/>
      <c r="AJ23" s="94"/>
      <c r="AK23" s="32">
        <f t="shared" si="2"/>
        <v>0.4</v>
      </c>
      <c r="AL23" s="31"/>
      <c r="AM23" s="94"/>
      <c r="AN23" s="94"/>
      <c r="AO23" s="94"/>
      <c r="AP23" s="40">
        <f t="shared" si="3"/>
        <v>0.4</v>
      </c>
      <c r="AQ23" s="41">
        <v>0.20960000000000001</v>
      </c>
      <c r="AR23" s="63">
        <f t="shared" si="4"/>
        <v>0.52400000000000002</v>
      </c>
      <c r="AS23" s="55" t="s">
        <v>234</v>
      </c>
    </row>
    <row r="24" spans="1:45" s="7" customFormat="1" ht="187.5" customHeight="1" x14ac:dyDescent="0.25">
      <c r="A24" s="67">
        <v>4</v>
      </c>
      <c r="B24" s="67" t="s">
        <v>51</v>
      </c>
      <c r="C24" s="67" t="s">
        <v>83</v>
      </c>
      <c r="D24" s="67" t="s">
        <v>106</v>
      </c>
      <c r="E24" s="36">
        <f t="shared" si="0"/>
        <v>4.7058823529411764E-2</v>
      </c>
      <c r="F24" s="67" t="s">
        <v>74</v>
      </c>
      <c r="G24" s="67" t="s">
        <v>107</v>
      </c>
      <c r="H24" s="67" t="s">
        <v>108</v>
      </c>
      <c r="I24" s="67"/>
      <c r="J24" s="67" t="s">
        <v>70</v>
      </c>
      <c r="K24" s="67" t="s">
        <v>58</v>
      </c>
      <c r="L24" s="6">
        <v>0.95</v>
      </c>
      <c r="M24" s="6">
        <v>0.95</v>
      </c>
      <c r="N24" s="6">
        <v>0.95</v>
      </c>
      <c r="O24" s="6">
        <v>0.95</v>
      </c>
      <c r="P24" s="6">
        <v>0.95</v>
      </c>
      <c r="Q24" s="67" t="s">
        <v>87</v>
      </c>
      <c r="R24" s="67" t="s">
        <v>88</v>
      </c>
      <c r="S24" s="67" t="s">
        <v>109</v>
      </c>
      <c r="T24" s="67" t="s">
        <v>62</v>
      </c>
      <c r="U24" s="4" t="s">
        <v>110</v>
      </c>
      <c r="V24" s="40">
        <f t="shared" si="7"/>
        <v>0.95</v>
      </c>
      <c r="W24" s="41">
        <v>0.76400000000000001</v>
      </c>
      <c r="X24" s="41">
        <f>W24/V24</f>
        <v>0.80421052631578949</v>
      </c>
      <c r="Y24" s="55" t="s">
        <v>111</v>
      </c>
      <c r="Z24" s="55" t="s">
        <v>112</v>
      </c>
      <c r="AA24" s="40">
        <f t="shared" si="5"/>
        <v>0.95</v>
      </c>
      <c r="AB24" s="63">
        <v>0.87070000000000003</v>
      </c>
      <c r="AC24" s="63">
        <f t="shared" si="6"/>
        <v>0.91652631578947374</v>
      </c>
      <c r="AD24" s="54" t="s">
        <v>235</v>
      </c>
      <c r="AE24" s="55" t="s">
        <v>236</v>
      </c>
      <c r="AF24" s="32">
        <f t="shared" si="1"/>
        <v>0.95</v>
      </c>
      <c r="AG24" s="31"/>
      <c r="AH24" s="94"/>
      <c r="AI24" s="94"/>
      <c r="AJ24" s="94"/>
      <c r="AK24" s="32">
        <f t="shared" si="2"/>
        <v>0.95</v>
      </c>
      <c r="AL24" s="31"/>
      <c r="AM24" s="94"/>
      <c r="AN24" s="94"/>
      <c r="AO24" s="94"/>
      <c r="AP24" s="40">
        <f t="shared" si="3"/>
        <v>0.95</v>
      </c>
      <c r="AQ24" s="63">
        <f>(W24*25%)+(AB24*25%)</f>
        <v>0.40867500000000001</v>
      </c>
      <c r="AR24" s="63">
        <f t="shared" si="4"/>
        <v>0.43018421052631584</v>
      </c>
      <c r="AS24" s="54" t="s">
        <v>270</v>
      </c>
    </row>
    <row r="25" spans="1:45" s="7" customFormat="1" ht="90" x14ac:dyDescent="0.25">
      <c r="A25" s="67">
        <v>4</v>
      </c>
      <c r="B25" s="67" t="s">
        <v>51</v>
      </c>
      <c r="C25" s="67" t="s">
        <v>83</v>
      </c>
      <c r="D25" s="67" t="s">
        <v>114</v>
      </c>
      <c r="E25" s="36">
        <f t="shared" si="0"/>
        <v>4.7058823529411764E-2</v>
      </c>
      <c r="F25" s="67" t="s">
        <v>54</v>
      </c>
      <c r="G25" s="67" t="s">
        <v>115</v>
      </c>
      <c r="H25" s="67" t="s">
        <v>116</v>
      </c>
      <c r="I25" s="67"/>
      <c r="J25" s="67" t="s">
        <v>70</v>
      </c>
      <c r="K25" s="67" t="s">
        <v>58</v>
      </c>
      <c r="L25" s="6">
        <v>1</v>
      </c>
      <c r="M25" s="6">
        <v>1</v>
      </c>
      <c r="N25" s="6">
        <v>1</v>
      </c>
      <c r="O25" s="6">
        <v>1</v>
      </c>
      <c r="P25" s="6">
        <v>1</v>
      </c>
      <c r="Q25" s="67" t="s">
        <v>87</v>
      </c>
      <c r="R25" s="4" t="s">
        <v>88</v>
      </c>
      <c r="S25" s="4" t="s">
        <v>117</v>
      </c>
      <c r="T25" s="4" t="s">
        <v>62</v>
      </c>
      <c r="U25" s="4" t="s">
        <v>118</v>
      </c>
      <c r="V25" s="40">
        <f t="shared" si="7"/>
        <v>1</v>
      </c>
      <c r="W25" s="42">
        <v>0.64280000000000004</v>
      </c>
      <c r="X25" s="42">
        <v>0.64280000000000004</v>
      </c>
      <c r="Y25" s="55" t="s">
        <v>119</v>
      </c>
      <c r="Z25" s="55" t="s">
        <v>120</v>
      </c>
      <c r="AA25" s="40">
        <f t="shared" si="5"/>
        <v>1</v>
      </c>
      <c r="AB25" s="63">
        <v>0.84960000000000002</v>
      </c>
      <c r="AC25" s="63">
        <f t="shared" si="6"/>
        <v>0.84960000000000002</v>
      </c>
      <c r="AD25" s="55" t="s">
        <v>237</v>
      </c>
      <c r="AE25" s="55" t="s">
        <v>231</v>
      </c>
      <c r="AF25" s="32">
        <f t="shared" si="1"/>
        <v>1</v>
      </c>
      <c r="AG25" s="31"/>
      <c r="AH25" s="94"/>
      <c r="AI25" s="94"/>
      <c r="AJ25" s="94"/>
      <c r="AK25" s="32">
        <f t="shared" si="2"/>
        <v>1</v>
      </c>
      <c r="AL25" s="31"/>
      <c r="AM25" s="94"/>
      <c r="AN25" s="94"/>
      <c r="AO25" s="94"/>
      <c r="AP25" s="40">
        <f t="shared" si="3"/>
        <v>1</v>
      </c>
      <c r="AQ25" s="42">
        <f>(64.63%*25%)+(84.96%*25%)</f>
        <v>0.37397499999999995</v>
      </c>
      <c r="AR25" s="63">
        <f t="shared" si="4"/>
        <v>0.37397499999999995</v>
      </c>
      <c r="AS25" s="55" t="s">
        <v>238</v>
      </c>
    </row>
    <row r="26" spans="1:45" s="7" customFormat="1" ht="135" x14ac:dyDescent="0.25">
      <c r="A26" s="67">
        <v>4</v>
      </c>
      <c r="B26" s="67" t="s">
        <v>51</v>
      </c>
      <c r="C26" s="67" t="s">
        <v>83</v>
      </c>
      <c r="D26" s="67" t="s">
        <v>121</v>
      </c>
      <c r="E26" s="36">
        <f t="shared" si="0"/>
        <v>4.7058823529411764E-2</v>
      </c>
      <c r="F26" s="67" t="s">
        <v>54</v>
      </c>
      <c r="G26" s="67" t="s">
        <v>122</v>
      </c>
      <c r="H26" s="67" t="s">
        <v>123</v>
      </c>
      <c r="I26" s="67"/>
      <c r="J26" s="67" t="s">
        <v>70</v>
      </c>
      <c r="K26" s="67" t="s">
        <v>58</v>
      </c>
      <c r="L26" s="6">
        <v>0.95</v>
      </c>
      <c r="M26" s="6">
        <v>0.95</v>
      </c>
      <c r="N26" s="6">
        <v>0.95</v>
      </c>
      <c r="O26" s="6">
        <v>0.95</v>
      </c>
      <c r="P26" s="6">
        <v>0.95</v>
      </c>
      <c r="Q26" s="67" t="s">
        <v>87</v>
      </c>
      <c r="R26" s="67" t="s">
        <v>124</v>
      </c>
      <c r="S26" s="67" t="s">
        <v>125</v>
      </c>
      <c r="T26" s="67" t="s">
        <v>62</v>
      </c>
      <c r="U26" s="4" t="s">
        <v>126</v>
      </c>
      <c r="V26" s="40">
        <f t="shared" si="7"/>
        <v>0.95</v>
      </c>
      <c r="W26" s="42">
        <v>0.76400000000000001</v>
      </c>
      <c r="X26" s="42">
        <f>W26/V26</f>
        <v>0.80421052631578949</v>
      </c>
      <c r="Y26" s="55" t="s">
        <v>111</v>
      </c>
      <c r="Z26" s="55" t="s">
        <v>120</v>
      </c>
      <c r="AA26" s="40">
        <f t="shared" si="5"/>
        <v>0.95</v>
      </c>
      <c r="AB26" s="63">
        <v>0.87070000000000003</v>
      </c>
      <c r="AC26" s="63">
        <f t="shared" si="6"/>
        <v>0.91652631578947374</v>
      </c>
      <c r="AD26" s="54" t="s">
        <v>113</v>
      </c>
      <c r="AE26" s="55" t="s">
        <v>112</v>
      </c>
      <c r="AF26" s="32">
        <f t="shared" si="1"/>
        <v>0.95</v>
      </c>
      <c r="AG26" s="31"/>
      <c r="AH26" s="94"/>
      <c r="AI26" s="94"/>
      <c r="AJ26" s="94"/>
      <c r="AK26" s="32">
        <f t="shared" si="2"/>
        <v>0.95</v>
      </c>
      <c r="AL26" s="31"/>
      <c r="AM26" s="94"/>
      <c r="AN26" s="94"/>
      <c r="AO26" s="94"/>
      <c r="AP26" s="40">
        <f t="shared" si="3"/>
        <v>0.95</v>
      </c>
      <c r="AQ26" s="41">
        <f>(76.4%*25%)+(87.07%*25%)</f>
        <v>0.40867500000000001</v>
      </c>
      <c r="AR26" s="63">
        <f t="shared" si="4"/>
        <v>0.43018421052631584</v>
      </c>
      <c r="AS26" s="55" t="s">
        <v>239</v>
      </c>
    </row>
    <row r="27" spans="1:45" s="7" customFormat="1" ht="75" x14ac:dyDescent="0.25">
      <c r="A27" s="67">
        <v>4</v>
      </c>
      <c r="B27" s="67" t="s">
        <v>51</v>
      </c>
      <c r="C27" s="67" t="s">
        <v>127</v>
      </c>
      <c r="D27" s="67" t="s">
        <v>128</v>
      </c>
      <c r="E27" s="36">
        <f t="shared" si="0"/>
        <v>4.7058823529411764E-2</v>
      </c>
      <c r="F27" s="67" t="s">
        <v>74</v>
      </c>
      <c r="G27" s="67" t="s">
        <v>129</v>
      </c>
      <c r="H27" s="67" t="s">
        <v>130</v>
      </c>
      <c r="I27" s="67"/>
      <c r="J27" s="67" t="s">
        <v>131</v>
      </c>
      <c r="K27" s="67" t="s">
        <v>132</v>
      </c>
      <c r="L27" s="29">
        <v>950</v>
      </c>
      <c r="M27" s="29">
        <v>950</v>
      </c>
      <c r="N27" s="29">
        <v>950</v>
      </c>
      <c r="O27" s="29">
        <v>950</v>
      </c>
      <c r="P27" s="30">
        <f>SUM(L27:O27)</f>
        <v>3800</v>
      </c>
      <c r="Q27" s="67" t="s">
        <v>87</v>
      </c>
      <c r="R27" s="67" t="s">
        <v>133</v>
      </c>
      <c r="S27" s="67" t="s">
        <v>134</v>
      </c>
      <c r="T27" s="67" t="s">
        <v>62</v>
      </c>
      <c r="U27" s="67" t="s">
        <v>134</v>
      </c>
      <c r="V27" s="43">
        <f t="shared" si="7"/>
        <v>950</v>
      </c>
      <c r="W27" s="44">
        <v>1591</v>
      </c>
      <c r="X27" s="40">
        <v>1</v>
      </c>
      <c r="Y27" s="55" t="s">
        <v>135</v>
      </c>
      <c r="Z27" s="55" t="s">
        <v>136</v>
      </c>
      <c r="AA27" s="46">
        <f t="shared" si="5"/>
        <v>950</v>
      </c>
      <c r="AB27" s="46">
        <v>1705</v>
      </c>
      <c r="AC27" s="63">
        <f>IF((AB27/AA27)&gt;100%,100%,AB27/AA27)</f>
        <v>1</v>
      </c>
      <c r="AD27" s="54" t="s">
        <v>241</v>
      </c>
      <c r="AE27" s="55" t="s">
        <v>240</v>
      </c>
      <c r="AF27" s="29">
        <f t="shared" si="1"/>
        <v>950</v>
      </c>
      <c r="AG27" s="94"/>
      <c r="AH27" s="94"/>
      <c r="AI27" s="94"/>
      <c r="AJ27" s="94"/>
      <c r="AK27" s="35">
        <f t="shared" si="2"/>
        <v>950</v>
      </c>
      <c r="AL27" s="31"/>
      <c r="AM27" s="94"/>
      <c r="AN27" s="94"/>
      <c r="AO27" s="94"/>
      <c r="AP27" s="43">
        <f t="shared" si="3"/>
        <v>3800</v>
      </c>
      <c r="AQ27" s="46">
        <f>1591+1705</f>
        <v>3296</v>
      </c>
      <c r="AR27" s="63">
        <f t="shared" si="4"/>
        <v>0.86736842105263157</v>
      </c>
      <c r="AS27" s="55" t="s">
        <v>242</v>
      </c>
    </row>
    <row r="28" spans="1:45" s="7" customFormat="1" ht="75" x14ac:dyDescent="0.25">
      <c r="A28" s="67">
        <v>4</v>
      </c>
      <c r="B28" s="67" t="s">
        <v>51</v>
      </c>
      <c r="C28" s="67" t="s">
        <v>127</v>
      </c>
      <c r="D28" s="67" t="s">
        <v>137</v>
      </c>
      <c r="E28" s="36">
        <f t="shared" si="0"/>
        <v>4.7058823529411764E-2</v>
      </c>
      <c r="F28" s="67" t="s">
        <v>54</v>
      </c>
      <c r="G28" s="67" t="s">
        <v>138</v>
      </c>
      <c r="H28" s="67" t="s">
        <v>139</v>
      </c>
      <c r="I28" s="67"/>
      <c r="J28" s="67" t="s">
        <v>131</v>
      </c>
      <c r="K28" s="67" t="s">
        <v>140</v>
      </c>
      <c r="L28" s="29">
        <v>585</v>
      </c>
      <c r="M28" s="29">
        <v>585</v>
      </c>
      <c r="N28" s="29">
        <v>585</v>
      </c>
      <c r="O28" s="29">
        <v>585</v>
      </c>
      <c r="P28" s="30">
        <f>SUM(L28:O28)</f>
        <v>2340</v>
      </c>
      <c r="Q28" s="67" t="s">
        <v>87</v>
      </c>
      <c r="R28" s="67" t="s">
        <v>140</v>
      </c>
      <c r="S28" s="67" t="s">
        <v>134</v>
      </c>
      <c r="T28" s="67" t="s">
        <v>62</v>
      </c>
      <c r="U28" s="67" t="s">
        <v>134</v>
      </c>
      <c r="V28" s="43">
        <f t="shared" si="7"/>
        <v>585</v>
      </c>
      <c r="W28" s="44">
        <v>1121</v>
      </c>
      <c r="X28" s="40">
        <v>1</v>
      </c>
      <c r="Y28" s="55" t="s">
        <v>141</v>
      </c>
      <c r="Z28" s="55"/>
      <c r="AA28" s="46">
        <f t="shared" si="5"/>
        <v>585</v>
      </c>
      <c r="AB28" s="46">
        <v>774</v>
      </c>
      <c r="AC28" s="63">
        <f t="shared" si="6"/>
        <v>1</v>
      </c>
      <c r="AD28" s="89" t="s">
        <v>243</v>
      </c>
      <c r="AE28" s="89" t="s">
        <v>240</v>
      </c>
      <c r="AF28" s="29">
        <f t="shared" si="1"/>
        <v>585</v>
      </c>
      <c r="AG28" s="94"/>
      <c r="AH28" s="94"/>
      <c r="AI28" s="94"/>
      <c r="AJ28" s="94"/>
      <c r="AK28" s="35">
        <f t="shared" si="2"/>
        <v>585</v>
      </c>
      <c r="AL28" s="31"/>
      <c r="AM28" s="94"/>
      <c r="AN28" s="94"/>
      <c r="AO28" s="94"/>
      <c r="AP28" s="43">
        <f t="shared" si="3"/>
        <v>2340</v>
      </c>
      <c r="AQ28" s="46">
        <f>1121+774</f>
        <v>1895</v>
      </c>
      <c r="AR28" s="63">
        <f t="shared" si="4"/>
        <v>0.80982905982905984</v>
      </c>
      <c r="AS28" s="89" t="s">
        <v>244</v>
      </c>
    </row>
    <row r="29" spans="1:45" s="7" customFormat="1" ht="60" x14ac:dyDescent="0.25">
      <c r="A29" s="67">
        <v>4</v>
      </c>
      <c r="B29" s="67" t="s">
        <v>51</v>
      </c>
      <c r="C29" s="67" t="s">
        <v>127</v>
      </c>
      <c r="D29" s="67" t="s">
        <v>142</v>
      </c>
      <c r="E29" s="36">
        <f t="shared" si="0"/>
        <v>4.7058823529411764E-2</v>
      </c>
      <c r="F29" s="67" t="s">
        <v>54</v>
      </c>
      <c r="G29" s="67" t="s">
        <v>143</v>
      </c>
      <c r="H29" s="67" t="s">
        <v>144</v>
      </c>
      <c r="I29" s="67"/>
      <c r="J29" s="67" t="s">
        <v>131</v>
      </c>
      <c r="K29" s="67" t="s">
        <v>145</v>
      </c>
      <c r="L29" s="31">
        <v>6</v>
      </c>
      <c r="M29" s="31">
        <v>9</v>
      </c>
      <c r="N29" s="31">
        <v>10</v>
      </c>
      <c r="O29" s="31">
        <v>8</v>
      </c>
      <c r="P29" s="30">
        <f t="shared" ref="P29:P33" si="8">SUM(L29:O29)</f>
        <v>33</v>
      </c>
      <c r="Q29" s="67" t="s">
        <v>87</v>
      </c>
      <c r="R29" s="67" t="s">
        <v>146</v>
      </c>
      <c r="S29" s="67" t="s">
        <v>147</v>
      </c>
      <c r="T29" s="67" t="s">
        <v>62</v>
      </c>
      <c r="U29" s="67" t="s">
        <v>147</v>
      </c>
      <c r="V29" s="43">
        <f t="shared" si="7"/>
        <v>6</v>
      </c>
      <c r="W29" s="44">
        <v>14</v>
      </c>
      <c r="X29" s="40">
        <v>1</v>
      </c>
      <c r="Y29" s="55" t="s">
        <v>148</v>
      </c>
      <c r="Z29" s="55"/>
      <c r="AA29" s="46">
        <f t="shared" si="5"/>
        <v>9</v>
      </c>
      <c r="AB29" s="46">
        <v>3</v>
      </c>
      <c r="AC29" s="63">
        <f t="shared" si="6"/>
        <v>0.33333333333333331</v>
      </c>
      <c r="AD29" s="55" t="s">
        <v>245</v>
      </c>
      <c r="AE29" s="89" t="s">
        <v>240</v>
      </c>
      <c r="AF29" s="29">
        <f t="shared" si="1"/>
        <v>10</v>
      </c>
      <c r="AG29" s="94"/>
      <c r="AH29" s="94"/>
      <c r="AI29" s="94"/>
      <c r="AJ29" s="94"/>
      <c r="AK29" s="35">
        <f t="shared" si="2"/>
        <v>8</v>
      </c>
      <c r="AL29" s="31"/>
      <c r="AM29" s="94"/>
      <c r="AN29" s="94"/>
      <c r="AO29" s="94"/>
      <c r="AP29" s="43">
        <f t="shared" si="3"/>
        <v>33</v>
      </c>
      <c r="AQ29" s="46">
        <f>14+3</f>
        <v>17</v>
      </c>
      <c r="AR29" s="63">
        <f t="shared" si="4"/>
        <v>0.51515151515151514</v>
      </c>
      <c r="AS29" s="55" t="s">
        <v>246</v>
      </c>
    </row>
    <row r="30" spans="1:45" s="7" customFormat="1" ht="75" x14ac:dyDescent="0.25">
      <c r="A30" s="67">
        <v>4</v>
      </c>
      <c r="B30" s="67" t="s">
        <v>51</v>
      </c>
      <c r="C30" s="67" t="s">
        <v>127</v>
      </c>
      <c r="D30" s="67" t="s">
        <v>149</v>
      </c>
      <c r="E30" s="36">
        <f t="shared" si="0"/>
        <v>4.7058823529411764E-2</v>
      </c>
      <c r="F30" s="67" t="s">
        <v>74</v>
      </c>
      <c r="G30" s="67" t="s">
        <v>150</v>
      </c>
      <c r="H30" s="67" t="s">
        <v>151</v>
      </c>
      <c r="I30" s="67"/>
      <c r="J30" s="67" t="s">
        <v>131</v>
      </c>
      <c r="K30" s="67" t="s">
        <v>146</v>
      </c>
      <c r="L30" s="31">
        <v>6</v>
      </c>
      <c r="M30" s="31">
        <v>9</v>
      </c>
      <c r="N30" s="31">
        <v>9</v>
      </c>
      <c r="O30" s="31">
        <v>6</v>
      </c>
      <c r="P30" s="30">
        <f t="shared" si="8"/>
        <v>30</v>
      </c>
      <c r="Q30" s="67" t="s">
        <v>87</v>
      </c>
      <c r="R30" s="67" t="s">
        <v>146</v>
      </c>
      <c r="S30" s="67" t="s">
        <v>147</v>
      </c>
      <c r="T30" s="67" t="s">
        <v>62</v>
      </c>
      <c r="U30" s="67" t="s">
        <v>147</v>
      </c>
      <c r="V30" s="43">
        <f t="shared" si="7"/>
        <v>6</v>
      </c>
      <c r="W30" s="44">
        <v>1</v>
      </c>
      <c r="X30" s="45">
        <f>W30/V30</f>
        <v>0.16666666666666666</v>
      </c>
      <c r="Y30" s="55" t="s">
        <v>152</v>
      </c>
      <c r="Z30" s="55"/>
      <c r="AA30" s="46">
        <f t="shared" si="5"/>
        <v>9</v>
      </c>
      <c r="AB30" s="46">
        <v>30</v>
      </c>
      <c r="AC30" s="63">
        <f t="shared" si="6"/>
        <v>1</v>
      </c>
      <c r="AD30" s="89" t="s">
        <v>247</v>
      </c>
      <c r="AE30" s="89" t="s">
        <v>240</v>
      </c>
      <c r="AF30" s="29">
        <f t="shared" si="1"/>
        <v>9</v>
      </c>
      <c r="AG30" s="94"/>
      <c r="AH30" s="94"/>
      <c r="AI30" s="94"/>
      <c r="AJ30" s="94"/>
      <c r="AK30" s="35">
        <f t="shared" si="2"/>
        <v>6</v>
      </c>
      <c r="AL30" s="31"/>
      <c r="AM30" s="94"/>
      <c r="AN30" s="94"/>
      <c r="AO30" s="94"/>
      <c r="AP30" s="43">
        <f t="shared" si="3"/>
        <v>30</v>
      </c>
      <c r="AQ30" s="46">
        <f>1+30</f>
        <v>31</v>
      </c>
      <c r="AR30" s="63">
        <f t="shared" si="4"/>
        <v>1</v>
      </c>
      <c r="AS30" s="55" t="s">
        <v>248</v>
      </c>
    </row>
    <row r="31" spans="1:45" s="7" customFormat="1" ht="90" x14ac:dyDescent="0.25">
      <c r="A31" s="67">
        <v>4</v>
      </c>
      <c r="B31" s="67" t="s">
        <v>51</v>
      </c>
      <c r="C31" s="67" t="s">
        <v>127</v>
      </c>
      <c r="D31" s="67" t="s">
        <v>153</v>
      </c>
      <c r="E31" s="36">
        <f t="shared" si="0"/>
        <v>4.7058823529411764E-2</v>
      </c>
      <c r="F31" s="67" t="s">
        <v>74</v>
      </c>
      <c r="G31" s="67" t="s">
        <v>154</v>
      </c>
      <c r="H31" s="67" t="s">
        <v>155</v>
      </c>
      <c r="I31" s="67"/>
      <c r="J31" s="67" t="s">
        <v>131</v>
      </c>
      <c r="K31" s="67" t="s">
        <v>156</v>
      </c>
      <c r="L31" s="31">
        <v>24</v>
      </c>
      <c r="M31" s="31">
        <v>30</v>
      </c>
      <c r="N31" s="31">
        <v>30</v>
      </c>
      <c r="O31" s="31">
        <v>28</v>
      </c>
      <c r="P31" s="30">
        <f t="shared" si="8"/>
        <v>112</v>
      </c>
      <c r="Q31" s="67" t="s">
        <v>87</v>
      </c>
      <c r="R31" s="67" t="s">
        <v>157</v>
      </c>
      <c r="S31" s="67" t="s">
        <v>158</v>
      </c>
      <c r="T31" s="67" t="s">
        <v>62</v>
      </c>
      <c r="U31" s="67" t="s">
        <v>157</v>
      </c>
      <c r="V31" s="43">
        <f t="shared" si="7"/>
        <v>24</v>
      </c>
      <c r="W31" s="46">
        <v>4</v>
      </c>
      <c r="X31" s="45">
        <f t="shared" ref="X31:X33" si="9">W31/V31</f>
        <v>0.16666666666666666</v>
      </c>
      <c r="Y31" s="55" t="s">
        <v>159</v>
      </c>
      <c r="Z31" s="55" t="s">
        <v>160</v>
      </c>
      <c r="AA31" s="46">
        <f t="shared" si="5"/>
        <v>30</v>
      </c>
      <c r="AB31" s="46">
        <v>12</v>
      </c>
      <c r="AC31" s="63">
        <f t="shared" si="6"/>
        <v>0.4</v>
      </c>
      <c r="AD31" s="55" t="s">
        <v>161</v>
      </c>
      <c r="AE31" s="55" t="s">
        <v>160</v>
      </c>
      <c r="AF31" s="29">
        <f t="shared" si="1"/>
        <v>30</v>
      </c>
      <c r="AG31" s="94"/>
      <c r="AH31" s="94"/>
      <c r="AI31" s="94"/>
      <c r="AJ31" s="94"/>
      <c r="AK31" s="35">
        <f t="shared" si="2"/>
        <v>28</v>
      </c>
      <c r="AL31" s="31"/>
      <c r="AM31" s="94"/>
      <c r="AN31" s="94"/>
      <c r="AO31" s="94"/>
      <c r="AP31" s="43">
        <f t="shared" si="3"/>
        <v>112</v>
      </c>
      <c r="AQ31" s="46">
        <f>4+12</f>
        <v>16</v>
      </c>
      <c r="AR31" s="63">
        <f t="shared" si="4"/>
        <v>0.14285714285714285</v>
      </c>
      <c r="AS31" s="55" t="s">
        <v>249</v>
      </c>
    </row>
    <row r="32" spans="1:45" s="7" customFormat="1" ht="105" x14ac:dyDescent="0.25">
      <c r="A32" s="67">
        <v>4</v>
      </c>
      <c r="B32" s="67" t="s">
        <v>51</v>
      </c>
      <c r="C32" s="67" t="s">
        <v>127</v>
      </c>
      <c r="D32" s="67" t="s">
        <v>162</v>
      </c>
      <c r="E32" s="36">
        <f t="shared" si="0"/>
        <v>4.7058823529411764E-2</v>
      </c>
      <c r="F32" s="67" t="s">
        <v>74</v>
      </c>
      <c r="G32" s="67" t="s">
        <v>163</v>
      </c>
      <c r="H32" s="67" t="s">
        <v>164</v>
      </c>
      <c r="I32" s="67"/>
      <c r="J32" s="67" t="s">
        <v>131</v>
      </c>
      <c r="K32" s="67" t="s">
        <v>156</v>
      </c>
      <c r="L32" s="31">
        <v>26</v>
      </c>
      <c r="M32" s="31">
        <v>36</v>
      </c>
      <c r="N32" s="31">
        <v>36</v>
      </c>
      <c r="O32" s="31">
        <v>32</v>
      </c>
      <c r="P32" s="30">
        <f t="shared" si="8"/>
        <v>130</v>
      </c>
      <c r="Q32" s="67" t="s">
        <v>87</v>
      </c>
      <c r="R32" s="67" t="s">
        <v>157</v>
      </c>
      <c r="S32" s="67" t="s">
        <v>158</v>
      </c>
      <c r="T32" s="67" t="s">
        <v>62</v>
      </c>
      <c r="U32" s="67" t="s">
        <v>157</v>
      </c>
      <c r="V32" s="43">
        <f t="shared" si="7"/>
        <v>26</v>
      </c>
      <c r="W32" s="46">
        <v>3</v>
      </c>
      <c r="X32" s="45">
        <f t="shared" si="9"/>
        <v>0.11538461538461539</v>
      </c>
      <c r="Y32" s="55" t="s">
        <v>165</v>
      </c>
      <c r="Z32" s="55" t="s">
        <v>160</v>
      </c>
      <c r="AA32" s="46">
        <f t="shared" si="5"/>
        <v>36</v>
      </c>
      <c r="AB32" s="46">
        <v>26</v>
      </c>
      <c r="AC32" s="63">
        <f t="shared" si="6"/>
        <v>0.72222222222222221</v>
      </c>
      <c r="AD32" s="55" t="s">
        <v>166</v>
      </c>
      <c r="AE32" s="55" t="s">
        <v>160</v>
      </c>
      <c r="AF32" s="29">
        <f t="shared" si="1"/>
        <v>36</v>
      </c>
      <c r="AG32" s="94"/>
      <c r="AH32" s="94"/>
      <c r="AI32" s="94"/>
      <c r="AJ32" s="94"/>
      <c r="AK32" s="35">
        <f t="shared" si="2"/>
        <v>32</v>
      </c>
      <c r="AL32" s="31"/>
      <c r="AM32" s="94"/>
      <c r="AN32" s="94"/>
      <c r="AO32" s="94"/>
      <c r="AP32" s="43">
        <f t="shared" si="3"/>
        <v>130</v>
      </c>
      <c r="AQ32" s="46">
        <f>3+26</f>
        <v>29</v>
      </c>
      <c r="AR32" s="63">
        <f t="shared" si="4"/>
        <v>0.22307692307692309</v>
      </c>
      <c r="AS32" s="55" t="s">
        <v>250</v>
      </c>
    </row>
    <row r="33" spans="1:45" s="7" customFormat="1" ht="90" x14ac:dyDescent="0.25">
      <c r="A33" s="67">
        <v>4</v>
      </c>
      <c r="B33" s="67" t="s">
        <v>51</v>
      </c>
      <c r="C33" s="67" t="s">
        <v>127</v>
      </c>
      <c r="D33" s="67" t="s">
        <v>167</v>
      </c>
      <c r="E33" s="36">
        <f t="shared" si="0"/>
        <v>4.7058823529411764E-2</v>
      </c>
      <c r="F33" s="67" t="s">
        <v>74</v>
      </c>
      <c r="G33" s="67" t="s">
        <v>168</v>
      </c>
      <c r="H33" s="67" t="s">
        <v>169</v>
      </c>
      <c r="I33" s="67"/>
      <c r="J33" s="67" t="s">
        <v>131</v>
      </c>
      <c r="K33" s="67" t="s">
        <v>156</v>
      </c>
      <c r="L33" s="31">
        <v>7</v>
      </c>
      <c r="M33" s="31">
        <v>10</v>
      </c>
      <c r="N33" s="31">
        <v>9</v>
      </c>
      <c r="O33" s="31">
        <v>8</v>
      </c>
      <c r="P33" s="30">
        <f t="shared" si="8"/>
        <v>34</v>
      </c>
      <c r="Q33" s="67" t="s">
        <v>87</v>
      </c>
      <c r="R33" s="67" t="s">
        <v>157</v>
      </c>
      <c r="S33" s="67" t="s">
        <v>158</v>
      </c>
      <c r="T33" s="67" t="s">
        <v>62</v>
      </c>
      <c r="U33" s="67" t="s">
        <v>157</v>
      </c>
      <c r="V33" s="43">
        <f t="shared" si="7"/>
        <v>7</v>
      </c>
      <c r="W33" s="46">
        <v>2</v>
      </c>
      <c r="X33" s="45">
        <f t="shared" si="9"/>
        <v>0.2857142857142857</v>
      </c>
      <c r="Y33" s="55" t="s">
        <v>170</v>
      </c>
      <c r="Z33" s="55" t="s">
        <v>160</v>
      </c>
      <c r="AA33" s="46">
        <f t="shared" si="5"/>
        <v>10</v>
      </c>
      <c r="AB33" s="46">
        <v>3</v>
      </c>
      <c r="AC33" s="63">
        <f t="shared" si="6"/>
        <v>0.3</v>
      </c>
      <c r="AD33" s="55" t="s">
        <v>171</v>
      </c>
      <c r="AE33" s="55" t="s">
        <v>160</v>
      </c>
      <c r="AF33" s="29">
        <f t="shared" si="1"/>
        <v>9</v>
      </c>
      <c r="AG33" s="94"/>
      <c r="AH33" s="94"/>
      <c r="AI33" s="94"/>
      <c r="AJ33" s="94"/>
      <c r="AK33" s="35">
        <f t="shared" si="2"/>
        <v>8</v>
      </c>
      <c r="AL33" s="31"/>
      <c r="AM33" s="94"/>
      <c r="AN33" s="94"/>
      <c r="AO33" s="94"/>
      <c r="AP33" s="43">
        <f t="shared" si="3"/>
        <v>34</v>
      </c>
      <c r="AQ33" s="46">
        <f>2+3</f>
        <v>5</v>
      </c>
      <c r="AR33" s="63">
        <f t="shared" si="4"/>
        <v>0.14705882352941177</v>
      </c>
      <c r="AS33" s="55" t="s">
        <v>251</v>
      </c>
    </row>
    <row r="34" spans="1:45" s="15" customFormat="1" ht="15.75" x14ac:dyDescent="0.25">
      <c r="A34" s="20"/>
      <c r="B34" s="20"/>
      <c r="C34" s="20"/>
      <c r="D34" s="24" t="s">
        <v>172</v>
      </c>
      <c r="E34" s="25">
        <f>SUM(E17:E33)</f>
        <v>0.80000000000000027</v>
      </c>
      <c r="F34" s="20"/>
      <c r="G34" s="20"/>
      <c r="H34" s="20"/>
      <c r="I34" s="20"/>
      <c r="J34" s="20"/>
      <c r="K34" s="20"/>
      <c r="L34" s="25"/>
      <c r="M34" s="25"/>
      <c r="N34" s="25"/>
      <c r="O34" s="25"/>
      <c r="P34" s="25"/>
      <c r="Q34" s="20"/>
      <c r="R34" s="20"/>
      <c r="S34" s="20"/>
      <c r="T34" s="20"/>
      <c r="U34" s="20"/>
      <c r="V34" s="72"/>
      <c r="W34" s="72"/>
      <c r="X34" s="72">
        <f>AVERAGE(X17:X33)*80%</f>
        <v>0.53256817531006995</v>
      </c>
      <c r="Y34" s="76"/>
      <c r="Z34" s="76"/>
      <c r="AA34" s="71"/>
      <c r="AB34" s="71"/>
      <c r="AC34" s="111">
        <f>AVERAGE(AC17:AC33)*80%</f>
        <v>0.64903540935672521</v>
      </c>
      <c r="AD34" s="76"/>
      <c r="AE34" s="76"/>
      <c r="AF34" s="74"/>
      <c r="AG34" s="74"/>
      <c r="AH34" s="72" t="e">
        <f>AVERAGE(AH17:AH33)*80%</f>
        <v>#DIV/0!</v>
      </c>
      <c r="AI34" s="73"/>
      <c r="AJ34" s="73"/>
      <c r="AK34" s="75"/>
      <c r="AL34" s="75"/>
      <c r="AM34" s="72" t="e">
        <f>AVERAGE(AM17:AM33)*80%</f>
        <v>#DIV/0!</v>
      </c>
      <c r="AN34" s="73"/>
      <c r="AO34" s="73"/>
      <c r="AP34" s="72"/>
      <c r="AQ34" s="72"/>
      <c r="AR34" s="111">
        <f>AVERAGE(AR17:AR33)*80%</f>
        <v>0.36483546953420931</v>
      </c>
      <c r="AS34" s="76"/>
    </row>
    <row r="35" spans="1:45" ht="165.75" customHeight="1" x14ac:dyDescent="0.25">
      <c r="A35" s="12">
        <v>7</v>
      </c>
      <c r="B35" s="12" t="s">
        <v>173</v>
      </c>
      <c r="C35" s="12" t="s">
        <v>174</v>
      </c>
      <c r="D35" s="12" t="s">
        <v>175</v>
      </c>
      <c r="E35" s="33">
        <v>0.04</v>
      </c>
      <c r="F35" s="12" t="s">
        <v>176</v>
      </c>
      <c r="G35" s="12" t="s">
        <v>177</v>
      </c>
      <c r="H35" s="12" t="s">
        <v>178</v>
      </c>
      <c r="I35" s="12"/>
      <c r="J35" s="8" t="s">
        <v>179</v>
      </c>
      <c r="K35" s="13" t="s">
        <v>180</v>
      </c>
      <c r="L35" s="14">
        <v>0</v>
      </c>
      <c r="M35" s="14">
        <v>0.8</v>
      </c>
      <c r="N35" s="14">
        <v>0</v>
      </c>
      <c r="O35" s="14">
        <v>0.8</v>
      </c>
      <c r="P35" s="14">
        <v>0.8</v>
      </c>
      <c r="Q35" s="12" t="s">
        <v>87</v>
      </c>
      <c r="R35" s="12" t="s">
        <v>181</v>
      </c>
      <c r="S35" s="12" t="s">
        <v>182</v>
      </c>
      <c r="T35" s="12" t="s">
        <v>183</v>
      </c>
      <c r="U35" s="12" t="s">
        <v>184</v>
      </c>
      <c r="V35" s="47" t="s">
        <v>64</v>
      </c>
      <c r="W35" s="47" t="s">
        <v>64</v>
      </c>
      <c r="X35" s="47" t="s">
        <v>64</v>
      </c>
      <c r="Y35" s="56" t="s">
        <v>65</v>
      </c>
      <c r="Z35" s="56" t="s">
        <v>64</v>
      </c>
      <c r="AA35" s="47">
        <f t="shared" si="5"/>
        <v>0.8</v>
      </c>
      <c r="AB35" s="47">
        <v>0.68</v>
      </c>
      <c r="AC35" s="64">
        <f t="shared" si="6"/>
        <v>0.85</v>
      </c>
      <c r="AD35" s="57" t="s">
        <v>252</v>
      </c>
      <c r="AE35" s="57" t="s">
        <v>253</v>
      </c>
      <c r="AF35" s="33">
        <f t="shared" si="1"/>
        <v>0</v>
      </c>
      <c r="AG35" s="12"/>
      <c r="AH35" s="12"/>
      <c r="AI35" s="12"/>
      <c r="AJ35" s="12"/>
      <c r="AK35" s="33">
        <f t="shared" si="2"/>
        <v>0.8</v>
      </c>
      <c r="AL35" s="34"/>
      <c r="AM35" s="12"/>
      <c r="AN35" s="12"/>
      <c r="AO35" s="12"/>
      <c r="AP35" s="48">
        <f t="shared" si="3"/>
        <v>0.8</v>
      </c>
      <c r="AQ35" s="48">
        <f>(68%*50%)</f>
        <v>0.34</v>
      </c>
      <c r="AR35" s="49">
        <f t="shared" si="4"/>
        <v>0.42499999999999999</v>
      </c>
      <c r="AS35" s="57" t="s">
        <v>254</v>
      </c>
    </row>
    <row r="36" spans="1:45" ht="120" x14ac:dyDescent="0.25">
      <c r="A36" s="12">
        <v>7</v>
      </c>
      <c r="B36" s="12" t="s">
        <v>173</v>
      </c>
      <c r="C36" s="12" t="s">
        <v>174</v>
      </c>
      <c r="D36" s="12" t="s">
        <v>185</v>
      </c>
      <c r="E36" s="33">
        <v>0.04</v>
      </c>
      <c r="F36" s="12" t="s">
        <v>176</v>
      </c>
      <c r="G36" s="12" t="s">
        <v>186</v>
      </c>
      <c r="H36" s="12" t="s">
        <v>187</v>
      </c>
      <c r="I36" s="12"/>
      <c r="J36" s="8" t="s">
        <v>179</v>
      </c>
      <c r="K36" s="8" t="s">
        <v>188</v>
      </c>
      <c r="L36" s="9">
        <v>1</v>
      </c>
      <c r="M36" s="10">
        <v>1</v>
      </c>
      <c r="N36" s="10">
        <v>1</v>
      </c>
      <c r="O36" s="10">
        <v>1</v>
      </c>
      <c r="P36" s="10">
        <v>1</v>
      </c>
      <c r="Q36" s="12" t="s">
        <v>87</v>
      </c>
      <c r="R36" s="12" t="s">
        <v>189</v>
      </c>
      <c r="S36" s="12" t="s">
        <v>190</v>
      </c>
      <c r="T36" s="12" t="s">
        <v>191</v>
      </c>
      <c r="U36" s="12" t="s">
        <v>192</v>
      </c>
      <c r="V36" s="47">
        <f>L36</f>
        <v>1</v>
      </c>
      <c r="W36" s="48">
        <v>1</v>
      </c>
      <c r="X36" s="48">
        <v>1</v>
      </c>
      <c r="Y36" s="57" t="s">
        <v>193</v>
      </c>
      <c r="Z36" s="57" t="s">
        <v>194</v>
      </c>
      <c r="AA36" s="47">
        <f t="shared" si="5"/>
        <v>1</v>
      </c>
      <c r="AB36" s="47">
        <v>0.51</v>
      </c>
      <c r="AC36" s="64">
        <f t="shared" si="6"/>
        <v>0.51</v>
      </c>
      <c r="AD36" s="57" t="s">
        <v>255</v>
      </c>
      <c r="AE36" s="57" t="s">
        <v>256</v>
      </c>
      <c r="AF36" s="33">
        <f t="shared" si="1"/>
        <v>1</v>
      </c>
      <c r="AG36" s="12"/>
      <c r="AH36" s="12"/>
      <c r="AI36" s="12"/>
      <c r="AJ36" s="12"/>
      <c r="AK36" s="33">
        <f t="shared" si="2"/>
        <v>1</v>
      </c>
      <c r="AL36" s="34"/>
      <c r="AM36" s="12"/>
      <c r="AN36" s="12"/>
      <c r="AO36" s="12"/>
      <c r="AP36" s="48">
        <f t="shared" si="3"/>
        <v>1</v>
      </c>
      <c r="AQ36" s="47">
        <f>(100%*25%)+(51%*25%)</f>
        <v>0.3775</v>
      </c>
      <c r="AR36" s="49">
        <f t="shared" si="4"/>
        <v>0.3775</v>
      </c>
      <c r="AS36" s="57" t="s">
        <v>257</v>
      </c>
    </row>
    <row r="37" spans="1:45" ht="135" x14ac:dyDescent="0.25">
      <c r="A37" s="12">
        <v>7</v>
      </c>
      <c r="B37" s="12" t="s">
        <v>173</v>
      </c>
      <c r="C37" s="12" t="s">
        <v>195</v>
      </c>
      <c r="D37" s="12" t="s">
        <v>196</v>
      </c>
      <c r="E37" s="33">
        <v>0.04</v>
      </c>
      <c r="F37" s="12" t="s">
        <v>176</v>
      </c>
      <c r="G37" s="12" t="s">
        <v>197</v>
      </c>
      <c r="H37" s="12" t="s">
        <v>198</v>
      </c>
      <c r="I37" s="12"/>
      <c r="J37" s="8" t="s">
        <v>179</v>
      </c>
      <c r="K37" s="8" t="s">
        <v>199</v>
      </c>
      <c r="L37" s="9">
        <v>0</v>
      </c>
      <c r="M37" s="10">
        <v>1</v>
      </c>
      <c r="N37" s="10">
        <v>1</v>
      </c>
      <c r="O37" s="10">
        <v>1</v>
      </c>
      <c r="P37" s="10">
        <v>1</v>
      </c>
      <c r="Q37" s="12" t="s">
        <v>87</v>
      </c>
      <c r="R37" s="12" t="s">
        <v>200</v>
      </c>
      <c r="S37" s="12" t="s">
        <v>201</v>
      </c>
      <c r="T37" s="12" t="s">
        <v>202</v>
      </c>
      <c r="U37" s="12" t="s">
        <v>203</v>
      </c>
      <c r="V37" s="47" t="s">
        <v>64</v>
      </c>
      <c r="W37" s="47" t="s">
        <v>64</v>
      </c>
      <c r="X37" s="47" t="s">
        <v>64</v>
      </c>
      <c r="Y37" s="56" t="s">
        <v>65</v>
      </c>
      <c r="Z37" s="56" t="s">
        <v>64</v>
      </c>
      <c r="AA37" s="47">
        <f t="shared" si="5"/>
        <v>1</v>
      </c>
      <c r="AB37" s="64">
        <v>0.94779999999999998</v>
      </c>
      <c r="AC37" s="64">
        <f t="shared" si="6"/>
        <v>0.94779999999999998</v>
      </c>
      <c r="AD37" s="57" t="s">
        <v>260</v>
      </c>
      <c r="AE37" s="57" t="s">
        <v>258</v>
      </c>
      <c r="AF37" s="33">
        <f t="shared" si="1"/>
        <v>1</v>
      </c>
      <c r="AG37" s="12"/>
      <c r="AH37" s="12"/>
      <c r="AI37" s="12"/>
      <c r="AJ37" s="12"/>
      <c r="AK37" s="33">
        <f t="shared" si="2"/>
        <v>1</v>
      </c>
      <c r="AL37" s="34"/>
      <c r="AM37" s="12"/>
      <c r="AN37" s="12"/>
      <c r="AO37" s="12"/>
      <c r="AP37" s="48">
        <f t="shared" si="3"/>
        <v>1</v>
      </c>
      <c r="AQ37" s="48">
        <f>(94.78%*33.3%)</f>
        <v>0.31561739999999994</v>
      </c>
      <c r="AR37" s="49">
        <f t="shared" si="4"/>
        <v>0.31561739999999994</v>
      </c>
      <c r="AS37" s="57" t="s">
        <v>259</v>
      </c>
    </row>
    <row r="38" spans="1:45" ht="105" x14ac:dyDescent="0.25">
      <c r="A38" s="12">
        <v>7</v>
      </c>
      <c r="B38" s="12" t="s">
        <v>173</v>
      </c>
      <c r="C38" s="12" t="s">
        <v>174</v>
      </c>
      <c r="D38" s="12" t="s">
        <v>204</v>
      </c>
      <c r="E38" s="33">
        <v>0.04</v>
      </c>
      <c r="F38" s="12" t="s">
        <v>176</v>
      </c>
      <c r="G38" s="12" t="s">
        <v>205</v>
      </c>
      <c r="H38" s="12" t="s">
        <v>206</v>
      </c>
      <c r="I38" s="12"/>
      <c r="J38" s="8" t="s">
        <v>179</v>
      </c>
      <c r="K38" s="8" t="s">
        <v>207</v>
      </c>
      <c r="L38" s="9">
        <v>0</v>
      </c>
      <c r="M38" s="10">
        <v>1</v>
      </c>
      <c r="N38" s="10">
        <v>1</v>
      </c>
      <c r="O38" s="10">
        <v>0</v>
      </c>
      <c r="P38" s="10">
        <v>1</v>
      </c>
      <c r="Q38" s="12" t="s">
        <v>87</v>
      </c>
      <c r="R38" s="12" t="s">
        <v>208</v>
      </c>
      <c r="S38" s="12" t="s">
        <v>209</v>
      </c>
      <c r="T38" s="12" t="s">
        <v>191</v>
      </c>
      <c r="U38" s="12" t="s">
        <v>209</v>
      </c>
      <c r="V38" s="47" t="s">
        <v>64</v>
      </c>
      <c r="W38" s="47" t="s">
        <v>64</v>
      </c>
      <c r="X38" s="47" t="s">
        <v>64</v>
      </c>
      <c r="Y38" s="56" t="s">
        <v>65</v>
      </c>
      <c r="Z38" s="56" t="s">
        <v>64</v>
      </c>
      <c r="AA38" s="47">
        <f t="shared" si="5"/>
        <v>1</v>
      </c>
      <c r="AB38" s="47">
        <v>1</v>
      </c>
      <c r="AC38" s="64">
        <f t="shared" si="6"/>
        <v>1</v>
      </c>
      <c r="AD38" s="57" t="s">
        <v>261</v>
      </c>
      <c r="AE38" s="57" t="s">
        <v>262</v>
      </c>
      <c r="AF38" s="33">
        <f t="shared" si="1"/>
        <v>1</v>
      </c>
      <c r="AG38" s="12"/>
      <c r="AH38" s="12"/>
      <c r="AI38" s="12"/>
      <c r="AJ38" s="12"/>
      <c r="AK38" s="33">
        <f t="shared" si="2"/>
        <v>0</v>
      </c>
      <c r="AL38" s="34"/>
      <c r="AM38" s="12"/>
      <c r="AN38" s="12"/>
      <c r="AO38" s="12"/>
      <c r="AP38" s="48">
        <f t="shared" si="3"/>
        <v>1</v>
      </c>
      <c r="AQ38" s="48">
        <f>(100%*50%)</f>
        <v>0.5</v>
      </c>
      <c r="AR38" s="49">
        <f t="shared" si="4"/>
        <v>0.5</v>
      </c>
      <c r="AS38" s="57" t="s">
        <v>261</v>
      </c>
    </row>
    <row r="39" spans="1:45" ht="120" x14ac:dyDescent="0.25">
      <c r="A39" s="12">
        <v>5</v>
      </c>
      <c r="B39" s="12" t="s">
        <v>210</v>
      </c>
      <c r="C39" s="12" t="s">
        <v>211</v>
      </c>
      <c r="D39" s="12" t="s">
        <v>212</v>
      </c>
      <c r="E39" s="33">
        <v>0.04</v>
      </c>
      <c r="F39" s="12" t="s">
        <v>176</v>
      </c>
      <c r="G39" s="12" t="s">
        <v>213</v>
      </c>
      <c r="H39" s="12" t="s">
        <v>214</v>
      </c>
      <c r="I39" s="12"/>
      <c r="J39" s="8" t="s">
        <v>215</v>
      </c>
      <c r="K39" s="8" t="s">
        <v>216</v>
      </c>
      <c r="L39" s="11">
        <v>0.33</v>
      </c>
      <c r="M39" s="11">
        <v>0.67</v>
      </c>
      <c r="N39" s="11">
        <v>1</v>
      </c>
      <c r="O39" s="11">
        <v>0</v>
      </c>
      <c r="P39" s="11">
        <v>1</v>
      </c>
      <c r="Q39" s="12" t="s">
        <v>87</v>
      </c>
      <c r="R39" s="12" t="s">
        <v>217</v>
      </c>
      <c r="S39" s="12" t="s">
        <v>218</v>
      </c>
      <c r="T39" s="12" t="s">
        <v>219</v>
      </c>
      <c r="U39" s="12" t="s">
        <v>218</v>
      </c>
      <c r="V39" s="47">
        <f>L39</f>
        <v>0.33</v>
      </c>
      <c r="W39" s="49">
        <v>0.96550000000000002</v>
      </c>
      <c r="X39" s="48">
        <v>1</v>
      </c>
      <c r="Y39" s="57" t="s">
        <v>220</v>
      </c>
      <c r="Z39" s="57" t="s">
        <v>221</v>
      </c>
      <c r="AA39" s="47">
        <f t="shared" si="5"/>
        <v>0.67</v>
      </c>
      <c r="AB39" s="87">
        <v>0.97199999999999998</v>
      </c>
      <c r="AC39" s="64">
        <f t="shared" si="6"/>
        <v>1</v>
      </c>
      <c r="AD39" s="57" t="s">
        <v>263</v>
      </c>
      <c r="AE39" s="57" t="s">
        <v>264</v>
      </c>
      <c r="AF39" s="33">
        <f t="shared" si="1"/>
        <v>1</v>
      </c>
      <c r="AG39" s="12"/>
      <c r="AH39" s="12"/>
      <c r="AI39" s="12"/>
      <c r="AJ39" s="12"/>
      <c r="AK39" s="33">
        <f t="shared" si="2"/>
        <v>0</v>
      </c>
      <c r="AL39" s="34"/>
      <c r="AM39" s="12"/>
      <c r="AN39" s="12"/>
      <c r="AO39" s="12"/>
      <c r="AP39" s="48">
        <f t="shared" si="3"/>
        <v>1</v>
      </c>
      <c r="AQ39" s="49">
        <v>0.97199999999999998</v>
      </c>
      <c r="AR39" s="49">
        <f t="shared" si="4"/>
        <v>0.97199999999999998</v>
      </c>
      <c r="AS39" s="57" t="s">
        <v>263</v>
      </c>
    </row>
    <row r="40" spans="1:45" s="15" customFormat="1" ht="15.75" x14ac:dyDescent="0.25">
      <c r="A40" s="20"/>
      <c r="B40" s="20"/>
      <c r="C40" s="20"/>
      <c r="D40" s="21" t="s">
        <v>222</v>
      </c>
      <c r="E40" s="22">
        <f>SUM(E35:E39)</f>
        <v>0.2</v>
      </c>
      <c r="F40" s="21"/>
      <c r="G40" s="21"/>
      <c r="H40" s="21"/>
      <c r="I40" s="21"/>
      <c r="J40" s="21"/>
      <c r="K40" s="21"/>
      <c r="L40" s="23">
        <f>AVERAGE(L36:L39)</f>
        <v>0.33250000000000002</v>
      </c>
      <c r="M40" s="23">
        <f>AVERAGE(M36:M39)</f>
        <v>0.91749999999999998</v>
      </c>
      <c r="N40" s="23">
        <f>AVERAGE(N36:N39)</f>
        <v>1</v>
      </c>
      <c r="O40" s="23">
        <f>AVERAGE(O36:O39)</f>
        <v>0.5</v>
      </c>
      <c r="P40" s="23">
        <f>AVERAGE(P36:P39)</f>
        <v>1</v>
      </c>
      <c r="Q40" s="21"/>
      <c r="R40" s="20"/>
      <c r="S40" s="20"/>
      <c r="T40" s="20"/>
      <c r="U40" s="20"/>
      <c r="V40" s="80"/>
      <c r="W40" s="80"/>
      <c r="X40" s="78">
        <f>AVERAGE(X35:X39)*20%</f>
        <v>0.2</v>
      </c>
      <c r="Y40" s="76"/>
      <c r="Z40" s="76"/>
      <c r="AA40" s="77"/>
      <c r="AB40" s="77"/>
      <c r="AC40" s="109">
        <f>AVERAGE(AC35:AC39)*20%</f>
        <v>0.17231200000000002</v>
      </c>
      <c r="AD40" s="76"/>
      <c r="AE40" s="76"/>
      <c r="AF40" s="79"/>
      <c r="AG40" s="79"/>
      <c r="AH40" s="78" t="e">
        <f>AVERAGE(AH35:AH39)*20%</f>
        <v>#DIV/0!</v>
      </c>
      <c r="AI40" s="73"/>
      <c r="AJ40" s="73"/>
      <c r="AK40" s="79"/>
      <c r="AL40" s="79"/>
      <c r="AM40" s="78" t="e">
        <f>AVERAGE(AM35:AM39)*20%</f>
        <v>#DIV/0!</v>
      </c>
      <c r="AN40" s="73"/>
      <c r="AO40" s="73"/>
      <c r="AP40" s="80"/>
      <c r="AQ40" s="80"/>
      <c r="AR40" s="109">
        <f>AVERAGE(AR35:AR39)*20%</f>
        <v>0.103604696</v>
      </c>
      <c r="AS40" s="76"/>
    </row>
    <row r="41" spans="1:45" s="19" customFormat="1" ht="18.75" x14ac:dyDescent="0.3">
      <c r="A41" s="16"/>
      <c r="B41" s="16"/>
      <c r="C41" s="16"/>
      <c r="D41" s="17" t="s">
        <v>223</v>
      </c>
      <c r="E41" s="26">
        <f>E40+E34</f>
        <v>1.0000000000000002</v>
      </c>
      <c r="F41" s="16"/>
      <c r="G41" s="16"/>
      <c r="H41" s="16"/>
      <c r="I41" s="16"/>
      <c r="J41" s="16"/>
      <c r="K41" s="16"/>
      <c r="L41" s="18">
        <f>L40*$E$40</f>
        <v>6.6500000000000004E-2</v>
      </c>
      <c r="M41" s="18">
        <f>M40*$E$40</f>
        <v>0.1835</v>
      </c>
      <c r="N41" s="18">
        <f>N40*$E$40</f>
        <v>0.2</v>
      </c>
      <c r="O41" s="18">
        <f>O40*$E$40</f>
        <v>0.1</v>
      </c>
      <c r="P41" s="18">
        <f>P40*$E$40</f>
        <v>0.2</v>
      </c>
      <c r="Q41" s="16"/>
      <c r="R41" s="16"/>
      <c r="S41" s="16"/>
      <c r="T41" s="16"/>
      <c r="U41" s="16"/>
      <c r="V41" s="85"/>
      <c r="W41" s="85"/>
      <c r="X41" s="82">
        <f>X34+X40</f>
        <v>0.7325681753100699</v>
      </c>
      <c r="Y41" s="86"/>
      <c r="Z41" s="86"/>
      <c r="AA41" s="81"/>
      <c r="AB41" s="81"/>
      <c r="AC41" s="110">
        <f>AC34+AC40</f>
        <v>0.82134740935672523</v>
      </c>
      <c r="AD41" s="86"/>
      <c r="AE41" s="86"/>
      <c r="AF41" s="84"/>
      <c r="AG41" s="84"/>
      <c r="AH41" s="82" t="e">
        <f>AH34+AH40</f>
        <v>#DIV/0!</v>
      </c>
      <c r="AI41" s="83"/>
      <c r="AJ41" s="83"/>
      <c r="AK41" s="84"/>
      <c r="AL41" s="84"/>
      <c r="AM41" s="82" t="e">
        <f>AM34+AM40</f>
        <v>#DIV/0!</v>
      </c>
      <c r="AN41" s="83"/>
      <c r="AO41" s="83"/>
      <c r="AP41" s="85"/>
      <c r="AQ41" s="85"/>
      <c r="AR41" s="110">
        <f>AR34+AR40</f>
        <v>0.46844016553420931</v>
      </c>
      <c r="AS41" s="86"/>
    </row>
    <row r="42" spans="1:45" x14ac:dyDescent="0.25">
      <c r="AC42" s="39"/>
    </row>
  </sheetData>
  <mergeCells count="26">
    <mergeCell ref="A14:B15"/>
    <mergeCell ref="C14:C16"/>
    <mergeCell ref="D14:P15"/>
    <mergeCell ref="A1:K1"/>
    <mergeCell ref="L1:P1"/>
    <mergeCell ref="A2:P2"/>
    <mergeCell ref="A4:B8"/>
    <mergeCell ref="C4:D8"/>
    <mergeCell ref="H9:K9"/>
    <mergeCell ref="H10:K10"/>
    <mergeCell ref="AP14:AS14"/>
    <mergeCell ref="AP15:AS15"/>
    <mergeCell ref="V14:Z14"/>
    <mergeCell ref="F4:K4"/>
    <mergeCell ref="H5:K5"/>
    <mergeCell ref="H6:K6"/>
    <mergeCell ref="H7:K7"/>
    <mergeCell ref="H8:K8"/>
    <mergeCell ref="Q14:U15"/>
    <mergeCell ref="V15:Z15"/>
    <mergeCell ref="AA15:AE15"/>
    <mergeCell ref="AF15:AJ15"/>
    <mergeCell ref="AK15:AO15"/>
    <mergeCell ref="AK14:AO14"/>
    <mergeCell ref="AF14:AJ14"/>
    <mergeCell ref="AA14:AE14"/>
  </mergeCells>
  <dataValidations count="1">
    <dataValidation allowBlank="1" showInputMessage="1" showErrorMessage="1" error="Escriba un texto " promptTitle="Cualquier contenido" sqref="F17:F33" xr:uid="{00000000-0002-0000-0000-000000000000}"/>
  </dataValidations>
  <pageMargins left="0.7" right="0.7" top="0.75" bottom="0.75" header="0.3" footer="0.3"/>
  <pageSetup paperSize="9" orientation="portrait" r:id="rId1"/>
  <ignoredErrors>
    <ignoredError sqref="M40:P4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Tunjuelito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2021-08-24T21:57:08Z</dcterms:modified>
  <cp:category/>
  <cp:contentStatus/>
</cp:coreProperties>
</file>