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 BLOQ/"/>
    </mc:Choice>
  </mc:AlternateContent>
  <xr:revisionPtr revIDLastSave="2" documentId="8_{57798344-0E05-4947-8422-546DA46E7496}" xr6:coauthVersionLast="47" xr6:coauthVersionMax="47" xr10:uidLastSave="{765A2636-36CC-4799-ABA8-8BEC3D0C3015}"/>
  <workbookProtection lockStructure="1"/>
  <bookViews>
    <workbookView xWindow="-120" yWindow="-120" windowWidth="29040" windowHeight="15840" xr2:uid="{00000000-000D-0000-FFFF-FFFF00000000}"/>
  </bookViews>
  <sheets>
    <sheet name="2021 San Cristobal " sheetId="1" r:id="rId1"/>
  </sheets>
  <definedNames>
    <definedName name="_xlnm._FilterDatabase" localSheetId="0" hidden="1">'2021 San Cristobal '!$A$10:$AS$38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5" i="1" l="1"/>
  <c r="AR35" i="1" s="1"/>
  <c r="AB35" i="1"/>
  <c r="AQ34" i="1"/>
  <c r="AR34" i="1" s="1"/>
  <c r="AQ33" i="1"/>
  <c r="AR33" i="1" s="1"/>
  <c r="AC33" i="1"/>
  <c r="AR36" i="1"/>
  <c r="AR32" i="1"/>
  <c r="AQ32" i="1"/>
  <c r="AC36" i="1"/>
  <c r="AC35" i="1"/>
  <c r="AC34" i="1"/>
  <c r="AC32" i="1"/>
  <c r="AQ30" i="1"/>
  <c r="AR30" i="1" s="1"/>
  <c r="AQ29" i="1"/>
  <c r="AR29" i="1" s="1"/>
  <c r="AQ28" i="1"/>
  <c r="AQ27" i="1"/>
  <c r="AR27" i="1" s="1"/>
  <c r="AQ24" i="1"/>
  <c r="AR24" i="1" s="1"/>
  <c r="AQ23" i="1"/>
  <c r="AR23" i="1" s="1"/>
  <c r="AQ22" i="1"/>
  <c r="AR22" i="1" s="1"/>
  <c r="AQ21" i="1"/>
  <c r="AR21" i="1" s="1"/>
  <c r="AQ20" i="1"/>
  <c r="AR20" i="1" s="1"/>
  <c r="AR28" i="1"/>
  <c r="AR26" i="1"/>
  <c r="AR25" i="1"/>
  <c r="AR19" i="1"/>
  <c r="AR18" i="1"/>
  <c r="AR17" i="1"/>
  <c r="AR16" i="1"/>
  <c r="AR15" i="1"/>
  <c r="AR14" i="1"/>
  <c r="AR13" i="1"/>
  <c r="AM37" i="1" l="1"/>
  <c r="AM24" i="1"/>
  <c r="AM16" i="1"/>
  <c r="AH37" i="1"/>
  <c r="AH29" i="1"/>
  <c r="AH21" i="1"/>
  <c r="AH13" i="1"/>
  <c r="AC37" i="1"/>
  <c r="X37" i="1"/>
  <c r="AR37" i="1"/>
  <c r="E14" i="1"/>
  <c r="E15" i="1"/>
  <c r="E16" i="1"/>
  <c r="E17" i="1"/>
  <c r="E18" i="1"/>
  <c r="E19" i="1"/>
  <c r="E20" i="1"/>
  <c r="E21" i="1"/>
  <c r="E22" i="1"/>
  <c r="E23" i="1"/>
  <c r="E24" i="1"/>
  <c r="E25" i="1"/>
  <c r="E26" i="1"/>
  <c r="E27" i="1"/>
  <c r="E28" i="1"/>
  <c r="E29" i="1"/>
  <c r="E30" i="1"/>
  <c r="P28" i="1"/>
  <c r="P29" i="1"/>
  <c r="P30" i="1"/>
  <c r="E13" i="1"/>
  <c r="E31" i="1" s="1"/>
  <c r="E38" i="1" s="1"/>
  <c r="P27" i="1"/>
  <c r="AP27" i="1" s="1"/>
  <c r="P26" i="1"/>
  <c r="P25" i="1"/>
  <c r="P24" i="1"/>
  <c r="P23" i="1"/>
  <c r="L37" i="1"/>
  <c r="P37" i="1"/>
  <c r="O37" i="1"/>
  <c r="O38" i="1" s="1"/>
  <c r="N37" i="1"/>
  <c r="M37" i="1"/>
  <c r="AP36" i="1"/>
  <c r="AP35" i="1"/>
  <c r="AP34" i="1"/>
  <c r="AP33" i="1"/>
  <c r="AP32" i="1"/>
  <c r="AP30" i="1"/>
  <c r="AP29" i="1"/>
  <c r="AP28" i="1"/>
  <c r="AP26" i="1"/>
  <c r="AP25" i="1"/>
  <c r="AP24" i="1"/>
  <c r="AP23" i="1"/>
  <c r="AP22" i="1"/>
  <c r="AP21" i="1"/>
  <c r="AP20" i="1"/>
  <c r="AP19" i="1"/>
  <c r="AP18" i="1"/>
  <c r="AP17" i="1"/>
  <c r="AP16" i="1"/>
  <c r="AP15" i="1"/>
  <c r="AP14" i="1"/>
  <c r="AP13" i="1"/>
  <c r="AK36" i="1"/>
  <c r="AK35" i="1"/>
  <c r="AK34" i="1"/>
  <c r="AK33" i="1"/>
  <c r="AK32" i="1"/>
  <c r="AK30" i="1"/>
  <c r="AM30" i="1" s="1"/>
  <c r="AK29" i="1"/>
  <c r="AM29" i="1" s="1"/>
  <c r="AK28" i="1"/>
  <c r="AM28" i="1" s="1"/>
  <c r="AK27" i="1"/>
  <c r="AM27" i="1" s="1"/>
  <c r="AK26" i="1"/>
  <c r="AM26" i="1" s="1"/>
  <c r="AK25" i="1"/>
  <c r="AM25" i="1" s="1"/>
  <c r="AK24" i="1"/>
  <c r="AK23" i="1"/>
  <c r="AM23" i="1" s="1"/>
  <c r="AK22" i="1"/>
  <c r="AM22" i="1" s="1"/>
  <c r="AK21" i="1"/>
  <c r="AM21" i="1" s="1"/>
  <c r="AK20" i="1"/>
  <c r="AM20" i="1" s="1"/>
  <c r="AK19" i="1"/>
  <c r="AM19" i="1" s="1"/>
  <c r="AK18" i="1"/>
  <c r="AM18" i="1" s="1"/>
  <c r="AK17" i="1"/>
  <c r="AM17" i="1" s="1"/>
  <c r="AK16" i="1"/>
  <c r="AK15" i="1"/>
  <c r="AM15" i="1" s="1"/>
  <c r="AK14" i="1"/>
  <c r="AM14" i="1" s="1"/>
  <c r="AK13" i="1"/>
  <c r="AM13" i="1" s="1"/>
  <c r="AF36" i="1"/>
  <c r="AF35" i="1"/>
  <c r="AF34" i="1"/>
  <c r="AF33" i="1"/>
  <c r="AF37" i="1" s="1"/>
  <c r="AF38" i="1" s="1"/>
  <c r="AF32" i="1"/>
  <c r="AF30" i="1"/>
  <c r="AH30" i="1" s="1"/>
  <c r="AF29" i="1"/>
  <c r="AF28" i="1"/>
  <c r="AH28" i="1" s="1"/>
  <c r="AF27" i="1"/>
  <c r="AH27" i="1" s="1"/>
  <c r="AF26" i="1"/>
  <c r="AH26" i="1" s="1"/>
  <c r="AF25" i="1"/>
  <c r="AH25" i="1" s="1"/>
  <c r="AF24" i="1"/>
  <c r="AH24" i="1" s="1"/>
  <c r="AF23" i="1"/>
  <c r="AH23" i="1" s="1"/>
  <c r="AF22" i="1"/>
  <c r="AH22" i="1" s="1"/>
  <c r="AF21" i="1"/>
  <c r="AF20" i="1"/>
  <c r="AH20" i="1" s="1"/>
  <c r="AF19" i="1"/>
  <c r="AH19" i="1" s="1"/>
  <c r="AF18" i="1"/>
  <c r="AH18" i="1" s="1"/>
  <c r="AF17" i="1"/>
  <c r="AH17" i="1" s="1"/>
  <c r="AF16" i="1"/>
  <c r="AH16" i="1" s="1"/>
  <c r="AF15" i="1"/>
  <c r="AH15" i="1" s="1"/>
  <c r="AF14" i="1"/>
  <c r="AH14" i="1" s="1"/>
  <c r="AF13" i="1"/>
  <c r="AA36" i="1"/>
  <c r="AA35" i="1"/>
  <c r="AA34" i="1"/>
  <c r="AA33" i="1"/>
  <c r="AA32" i="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3" i="1"/>
  <c r="AC13" i="1" s="1"/>
  <c r="V36" i="1"/>
  <c r="V33" i="1"/>
  <c r="V30" i="1"/>
  <c r="V29" i="1"/>
  <c r="V28" i="1"/>
  <c r="V27" i="1"/>
  <c r="V26" i="1"/>
  <c r="V25" i="1"/>
  <c r="V24" i="1"/>
  <c r="X24" i="1" s="1"/>
  <c r="X31" i="1" s="1"/>
  <c r="X38" i="1" s="1"/>
  <c r="V23" i="1"/>
  <c r="V22" i="1"/>
  <c r="V21" i="1"/>
  <c r="V20" i="1"/>
  <c r="V19" i="1"/>
  <c r="V18" i="1"/>
  <c r="V17" i="1"/>
  <c r="V16" i="1"/>
  <c r="V15" i="1"/>
  <c r="E37" i="1"/>
  <c r="N38" i="1"/>
  <c r="AA37" i="1"/>
  <c r="AA38" i="1" s="1"/>
  <c r="L38" i="1"/>
  <c r="M38" i="1"/>
  <c r="AK37" i="1"/>
  <c r="AK38" i="1" s="1"/>
  <c r="P38" i="1"/>
  <c r="AC31" i="1" l="1"/>
  <c r="AC38" i="1" s="1"/>
  <c r="AH31" i="1"/>
  <c r="AH38" i="1" s="1"/>
  <c r="AM31" i="1"/>
  <c r="AM38" i="1" s="1"/>
  <c r="AR31" i="1"/>
  <c r="AR38" i="1" s="1"/>
</calcChain>
</file>

<file path=xl/sharedStrings.xml><?xml version="1.0" encoding="utf-8"?>
<sst xmlns="http://schemas.openxmlformats.org/spreadsheetml/2006/main" count="510" uniqueCount="283">
  <si>
    <t>ALCALDÍA LOCAL DE SAN CRISTOBAL</t>
  </si>
  <si>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</si>
  <si>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</si>
  <si>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</si>
  <si>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</si>
  <si>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</si>
  <si>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</si>
  <si>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</si>
  <si>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</si>
  <si>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23 de marzo de 2021</t>
  </si>
  <si>
    <t>Publicación del plan de gestión aprobado. Caso HOLA: 162952</t>
  </si>
  <si>
    <t>28 de abril de 2021</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</si>
  <si>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</si>
  <si>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</si>
  <si>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</si>
  <si>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</si>
  <si>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</si>
  <si>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</si>
  <si>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</si>
  <si>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</si>
  <si>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</si>
  <si>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</si>
  <si>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</si>
  <si>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</si>
  <si>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</si>
  <si>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</si>
  <si>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</si>
  <si>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</si>
  <si>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</si>
  <si>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</si>
  <si>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</si>
  <si>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</si>
  <si>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</si>
  <si>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</si>
  <si>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</si>
  <si>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</si>
  <si>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</si>
  <si>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</si>
  <si>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</si>
  <si>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</si>
  <si>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</si>
  <si>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</si>
  <si>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</si>
  <si>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</si>
  <si>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</si>
  <si>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</si>
  <si>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</si>
  <si>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</si>
  <si>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</si>
  <si>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</si>
  <si>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</si>
  <si>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</si>
  <si>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</si>
  <si>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</si>
  <si>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</si>
  <si>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</si>
  <si>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</si>
  <si>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</si>
  <si>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</si>
  <si>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</si>
  <si>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</si>
  <si>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</si>
  <si>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</si>
  <si>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</si>
  <si>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</si>
  <si>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</si>
  <si>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</si>
  <si>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</si>
  <si>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</si>
  <si>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</si>
  <si>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</si>
  <si>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</si>
  <si>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</si>
  <si>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</si>
  <si>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</si>
  <si>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</si>
  <si>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</si>
  <si>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</si>
  <si>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Se incluyeron todos los DTS según las circulares 01 y 06 de la Secretaría de Planeación. En el marco de la meta se realizó la inclusion en los DTS de las propuestas ciudadanas aprobadas en los presupuestos participativos.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</si>
  <si>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DTS Proyectos 2021</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</si>
  <si>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</si>
  <si>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</si>
  <si>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</si>
  <si>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</si>
  <si>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</si>
  <si>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</si>
  <si>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</si>
  <si>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</si>
  <si>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86.96%</t>
  </si>
  <si>
    <t>Las obligaciones por pagar constituidas para la vigencia 2020 se redujeron en un 16%, en tanto que se giró un total de $4.000.754.269 millones de pesos M/CTE.  De acuerdo con el reporte de la DGDL se obtiene un nivel de ejecución del 86.96%.</t>
  </si>
  <si>
    <t>informes contables y cuadros excel,reportes seguimientos ,Matriz de Obligaciones por pagar primer trimestre, ejecución de Obligaciones por pagar a marzo 2021 y ejecución con corte de marzo de 2021.</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</si>
  <si>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</si>
  <si>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</si>
  <si>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</si>
  <si>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Se logró el giro del 47,51% del presupuesto comprometido constituido como obligaciones por pagar de la vigencia 2019 y anteriores.
Para el periodo de abril de 2021 se proyecta girar el saldo de OxP correspondiente a vigencia 2019 y anteriores, dado que por el cambio del profesional del área de presupuesto no se logró girar previo al cierre de Tesorería el pago asociado a la liquidación del contrato de obra No 281 de 2018 – UT MITICOD.</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</si>
  <si>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</si>
  <si>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</si>
  <si>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</si>
  <si>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</si>
  <si>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Esta meta tiene como indicador: (Valor de RP de inversión directa de la vigencia  / Valor total del presupuesto de inversión directa de la Vigencia)*100.Encontrando como resultado que se ha comprometido a la fecha un 22% de ejecución.</t>
  </si>
  <si>
    <t>EXCEL, BOGDATA REPORTE</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</si>
  <si>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</si>
  <si>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</si>
  <si>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</si>
  <si>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El alto porcentaje de giros corresponde principalmente a la transferencia realizada el mes de enero a nivel central para atención de la emergencia sanitaria por valor de $2.410.800.000, que corresponde al 3,898% del presupuesto de inversión 2021.</t>
  </si>
  <si>
    <t>Matriz de Obligaciones por pagar primer trimestre, ejecución de Obligaciones por pagar a marzo 2021 y ejecución con corte de marzo de 2021.</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</si>
  <si>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</si>
  <si>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</si>
  <si>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</si>
  <si>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</si>
  <si>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</si>
  <si>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Conforme al reporte parcial remitido por la DGDL de la SDG con fecha de corte del 19 de marzo, se encuentra que la ALSC tenía el 98.5% de los contratos de secop registrados en SIPSE. El reporte final del mes de marzo es enviado en abril, por lo tanto, una vez se tenga se actualizaría dicho procentaje conforme a lo acumulado a 31 de marzo.</t>
  </si>
  <si>
    <t>Informe semáforos a 19 de marzo de la DGDL de la SDG.</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</si>
  <si>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</si>
  <si>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</si>
  <si>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</si>
  <si>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</si>
  <si>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</si>
  <si>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Conforme al reporte remitido por la DGDL de la SDG con fecha de corte del 19 de marzo, se encuentra que la ALSC tenía 156 contratos en ejecución, lo que indica que ya se les había generado acta de inicio y se encontraban en ejecución en el aplicativo SIPSE. Cabe señalar que en muchos casos los contratos que aún no están en ejecución es porque a a la fecha del reporte estaban para expedir RP, cargue póliza y algunos si en acta de inicio. El reporte final del mes de marzo es enviado durante abril, por lo tanto, una vez se tenga se actualizaría dicho procentaje conforme a lo acumulado a 31 de marzo.</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</si>
  <si>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</si>
  <si>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</si>
  <si>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</si>
  <si>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</si>
  <si>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Los proyectos de inversión local registrados en SEGPLAN se encuentran registrados oportunamente en SIPSE, así mismo, la información presupuestal producto de CDP's y RP's generados en BOGDATA se registra a conformidad según proceso y/o contrato.</t>
  </si>
  <si>
    <t>Evidencia de proyectos registrados en SIPSE (pantallazos ya que no se genera reporte en sipse para dicho tema)</t>
  </si>
  <si>
    <t>Los proyectos de inversión local registrados en SEGPLAN se encuentran registrados oportunamente en SIPSE, así mismo, la información presupuestal producto de CDP's y RP's generados en BOGDATA se registra a conformidad según proceso y/o contrato</t>
  </si>
  <si>
    <t>Inspección, vigilancia y control</t>
  </si>
  <si>
    <r>
      <t xml:space="preserve">11. Impulsar procesalmente (avocar, rechazar, enviar al competente y todo lo que derive del desarrollo de la actuación), </t>
    </r>
    <r>
      <rPr>
        <b/>
        <sz val="11"/>
        <color indexed="8"/>
        <rFont val="Calibri Light"/>
        <family val="2"/>
      </rPr>
      <t>6.144</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</si>
  <si>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</si>
  <si>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</si>
  <si>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</si>
  <si>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</si>
  <si>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</si>
  <si>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</si>
  <si>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Se realizaron en el trimestre 2.139 impulsos, sumado entre las cuatro inspecciones de policia de la alcaldia local de San Cristóbal</t>
  </si>
  <si>
    <t>excel, reporte a central de impulsos ARCO</t>
  </si>
  <si>
    <r>
      <t xml:space="preserve">12. Proferir </t>
    </r>
    <r>
      <rPr>
        <b/>
        <sz val="11"/>
        <color indexed="8"/>
        <rFont val="Calibri Light"/>
        <family val="2"/>
      </rPr>
      <t>3.600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</si>
  <si>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</si>
  <si>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</si>
  <si>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</si>
  <si>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Se realizaron en el trimestre 230 fallos, sumados entre las cuatro inspecciones de policia  de la localidad de san cristobal</t>
  </si>
  <si>
    <r>
      <t xml:space="preserve">13. Terminar (archivar), </t>
    </r>
    <r>
      <rPr>
        <b/>
        <sz val="11"/>
        <color indexed="8"/>
        <rFont val="Calibri Light"/>
        <family val="2"/>
      </rPr>
      <t xml:space="preserve">66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</si>
  <si>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</si>
  <si>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</si>
  <si>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</si>
  <si>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</si>
  <si>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</si>
  <si>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Estas se trabajaran en los proximos trimestres</t>
  </si>
  <si>
    <t>NA</t>
  </si>
  <si>
    <t>En lo que respecta a la meta relacionada con la terminación y el archivo definitivo de la actuaciòn, se està trabajando con el Despacho en la expedición de decisiones que terminan la actuación en primera instancia, con el fin de proceder a su notificación a las partes, resolver eventules recursos que se puedan interponer y dejar la constancia de ejecutoria de la decisión, con lo cual se terminarán y archivarán varias actuaciones.</t>
  </si>
  <si>
    <t>SI ACTUA</t>
  </si>
  <si>
    <r>
      <t xml:space="preserve">14. Terminar </t>
    </r>
    <r>
      <rPr>
        <b/>
        <sz val="11"/>
        <color indexed="8"/>
        <rFont val="Calibri Light"/>
        <family val="2"/>
      </rPr>
      <t>347</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</si>
  <si>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</si>
  <si>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</si>
  <si>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r>
      <t xml:space="preserve">15. Realizar </t>
    </r>
    <r>
      <rPr>
        <b/>
        <sz val="11"/>
        <color indexed="8"/>
        <rFont val="Calibri Light"/>
        <family val="2"/>
      </rPr>
      <t>100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</si>
  <si>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</si>
  <si>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</si>
  <si>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</si>
  <si>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</si>
  <si>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</si>
  <si>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realizaron operativos en la zona de influencia de la localidad referente al espacio publico y integridad del mismo en cumplimiento a lo establecido se  reprograman para los proximos meses mas operativos y asi poder cumplir con las metas establecidas.</t>
  </si>
  <si>
    <t xml:space="preserve">Actas operativos y cuadro de control Excel </t>
  </si>
  <si>
    <t>Se realizaron 51 operativos en la zona de influencia de la localidad referente al  actividad economica cumplimiento a lo establecido por ley</t>
  </si>
  <si>
    <t xml:space="preserve">ACTAS OPERATIVOS Y CONTROL EXCEL </t>
  </si>
  <si>
    <r>
      <t xml:space="preserve">16. Realizar </t>
    </r>
    <r>
      <rPr>
        <b/>
        <sz val="11"/>
        <color indexed="8"/>
        <rFont val="Calibri Light"/>
        <family val="2"/>
      </rPr>
      <t>90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</si>
  <si>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</si>
  <si>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</si>
  <si>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realizaron operativos en la zona de influencia de la localidad referente al actividad económica en cumplimiento a lo establecido; se  reprograman para los proximos meses más operativos y asi poder cumplir con las metas establecidas.</t>
  </si>
  <si>
    <t>Se realizaron 60 operativos en la zona de influencia de la localidad referente al  actividad economica cumplimiento a lo establecido por ley</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</si>
  <si>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</si>
  <si>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</si>
  <si>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</si>
  <si>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Se realizaron 24 acciones de control urbanismos mediante  visitas tecnicas de obras realizadas en la localidad de San Cristobal.</t>
  </si>
  <si>
    <t>Soportes Visitas tecnicas desarrolldas en el trimestre por parte del personal de IVC</t>
  </si>
  <si>
    <t xml:space="preserve">Se realizaron 21 acciones de control urbanismos mediante  visitas tecnicas de obras realizadas en la localidad de san cristobal </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</si>
  <si>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</si>
  <si>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</si>
  <si>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</si>
  <si>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Se realizaron 4 operativos de inspección, vigilancia y control para dar cumplimiento a los fallos de cerros orientales.</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</si>
  <si>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</si>
  <si>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</si>
  <si>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</si>
  <si>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</si>
  <si>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</si>
  <si>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</si>
  <si>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</si>
  <si>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</si>
  <si>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</si>
  <si>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</si>
  <si>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</si>
  <si>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</si>
  <si>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</si>
  <si>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</si>
  <si>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</si>
  <si>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</si>
  <si>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</si>
  <si>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</si>
  <si>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</si>
  <si>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</si>
  <si>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</si>
  <si>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6 acciones de mejora, de las cuales no se presentan vencimientos</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</si>
  <si>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</si>
  <si>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</si>
  <si>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</si>
  <si>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</si>
  <si>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</si>
  <si>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</si>
  <si>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</si>
  <si>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</si>
  <si>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</si>
  <si>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</si>
  <si>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</si>
  <si>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</si>
  <si>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</si>
  <si>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</si>
  <si>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</si>
  <si>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</si>
  <si>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</si>
  <si>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</si>
  <si>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</si>
  <si>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</si>
  <si>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</si>
  <si>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</si>
  <si>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</si>
  <si>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</si>
  <si>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</si>
  <si>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Se han atendido 13.461 requerimientos ciudadanos del periodo 2017 a 2020. </t>
  </si>
  <si>
    <t>Reporte CRONOS</t>
  </si>
  <si>
    <t>Total metas transversales (20%)</t>
  </si>
  <si>
    <t xml:space="preserve">Total plan de gestión </t>
  </si>
  <si>
    <t>Reporte de ejecución de la meta aportado por la DGDL proveniente de la MUSI</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</si>
  <si>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2,5%</t>
  </si>
  <si>
    <t>No programada para el II trimestre de 2021.</t>
  </si>
  <si>
    <t>La Alcaldía Local San Cristobal giró $10.605.775.664 del presupuesto comprometido constituido como obligaciones por pagar de la vigencia 2020, equivalente a $23.120.046.050, lo cual corresponde a un nivel de ejecución del 45,87%.</t>
  </si>
  <si>
    <t>Reporte de seguimiento presentado por la Dirección para la Gestión del Desarrollo Local.</t>
  </si>
  <si>
    <t xml:space="preserve">Reporte de seguimiento presentado por la Dirección para la Gestión del Desarrollo Local.
Decreto 05-2021//Decreto 3 ajuste OXP/Ejecucion 30 de junio </t>
  </si>
  <si>
    <t>Para el II Trimestre de 2021, la Alcaldía Local San Cristobal ha girado $8.021.041.866 del presupuesto comprometido constituido como obligaciones por pagar de la vigencia 2019 y anteriores, equivalente a $8.947.564.605, lo que representa un nivel de ejecución del 89,64%.</t>
  </si>
  <si>
    <t>No programada para el II Trimestre de 2021.</t>
  </si>
  <si>
    <t xml:space="preserve">Para el II Trimestre de 2021, la Alcaldía Local de San Cristobal comprometió $25.647.690.473 de los $61.841.979.000 asignados como presupuesto de inversión directa de la vigencia 2021, lo que representa un nivel de ejecución del 41,47%. </t>
  </si>
  <si>
    <t xml:space="preserve">La Alcaldía Local de San Cristobal giró $13.636.472.885 de los $61.841.979.000 asignados como depuesto disponible de inversión directa de la vigencia, lo que representa un nivel de ejecución acumulado del 22,05%. </t>
  </si>
  <si>
    <t>Conforme al reporte parcial remitido por la DGDL de la SDG con fecha de corte del 29 de junio, se encuentra que la ALSC tenía el 98,11% de los contratos de secop registrados en SIPSE.</t>
  </si>
  <si>
    <t>Informe semáforos a 29 de Junio de la DGDL de la SDG.
Reporte de seguimiento presentado por la Dirección para la Gestión del Desarrollo Local.</t>
  </si>
  <si>
    <t xml:space="preserve">La Alcaldía Local de San Cristobal ha registrado 308 contratos en SIPSE Local en estado ejecución de los 299 contratos registrados en SIPSE Local. </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</si>
  <si>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2,5%. La meta presenta un avance acumulado del 25%. </t>
  </si>
  <si>
    <t xml:space="preserve">La Alcaldía Local San Cristobal giró $10.605.775.664 del presupuesto comprometido constituido como obligaciones por pagar de la vigencia 2020, equivalente a $23.120.046.050, lo cual corresponde a un nivel de ejecución del 45,87%. La meta presenta un avance acumulado del 76,45% respecto a lo programado para la vigencia. </t>
  </si>
  <si>
    <t>Para el II Trimestre de 2021, la Alcaldía Local San Cristobal ha girado $8.021.041.866 del presupuesto comprometido constituido como obligaciones por pagar de la vigencia 2019 y anteriores, equivalente a $8.947.564.605, lo que representa un nivel de ejecución del 89,64% y un cumplimiento de la meta del 100%</t>
  </si>
  <si>
    <t xml:space="preserve">Para el II Trimestre de 2021, la Alcaldía Local de San Cristobal comprometió $25.647.690.473 de los $61.841.979.000 asignados como presupuesto de inversión directa de la vigencia 2021, lo que representa un nivel de ejecución del 41,47% y un avance acumulado del 43,65%. </t>
  </si>
  <si>
    <t xml:space="preserve">La Alcaldía Local de San Cristobal giró $13.636.472.885 de los $61.841.979.000 asignados como depuesto disponible de inversión directa de la vigencia, lo que representa un nivel de ejecución acumulado del 22,05% y un avance acumulado del 55,13%. </t>
  </si>
  <si>
    <t xml:space="preserve">La Alcaldía Local de San Cristobal ha registrado 312 contratos de los 318 contratos publicados en la plataforma SECOP I y II, lo que representa un nivel de cumplimiento del 98,11% para el periodo y del 51,61% acumulado para la vigencia. </t>
  </si>
  <si>
    <t>La Alcaldía Local de San Cristobal ha registrado 308 contratos en SIPSE Local en estado ejecución de los 299 contratos registrados en SIPSE Local. La meta presenta un avance acumulado del 47,83%.</t>
  </si>
  <si>
    <t>Los proyectos de inversión local registrados en SEGPLAN se encuentran registrados oportunamente en SIPSE, así mismo, la información presupuestal producto de CDP's y RP's generados en BOGDATA se registra a conformidad según proceso y/o contrato. La meta presenta un avance acumulado del 49,47%.</t>
  </si>
  <si>
    <t xml:space="preserve">En el segundo trimestre de 2021, la alcaldía local de San Cristóbal impulsó procesalmente 4151 expedientes a cargo de las inspecciones de policía, lo que representa un resultado de ___% para el periodo. </t>
  </si>
  <si>
    <t>Reporte de seguimiento presentado por la Dirección para la Gestión Policiva</t>
  </si>
  <si>
    <t xml:space="preserve">La alcaldía local de San Cristóbal impulsó procesalmente 6290 expedientes a cargo de las inspecciones de policía, lo que representa un resultado de 100% para el periodo. </t>
  </si>
  <si>
    <t xml:space="preserve">En el segundo trimestre de 2021, la alcaldía local de San Cristóbal profirió 1192 fallos en primera instancia sobre los expedientes a cargo de las inspecciones de policía, lo que representa un resultado de 100% para el periodo. </t>
  </si>
  <si>
    <t>La alcaldía local de San Cristóbal profirió 1422 fallos en primera instancia sobre los expedientes a cargo de las inspecciones de policía, lo que representa un resultado acumulado del 39,5%.</t>
  </si>
  <si>
    <t xml:space="preserve">La meta no presenta avance. Se recomienda implementar acciones de mejora para lograr los resultados esperados en materia de actuaciones administrativas. </t>
  </si>
  <si>
    <t>En el segundo trimestre de 2021, la alcaldía local de San Cristóbal terminó 57 actuaciones administrativas en primera instancia, lo que representa un resultado de 57% para el periodo. 
En cuanto a la meta relacionada con la terminación de la actuación en primera instancia, y si bien quedaron varios proyectos sin expedirse (numerarse y firmarse), enviados oportunamente desde el Área al Despacho para revisión y firma (algunos desde el año pasado, que tienen número y fecha pero no firma), se avanzó en la meta y se esperaría para este segundo semestre aumentar esfuerzos para cumplir con los compromisos</t>
  </si>
  <si>
    <t>La alcaldía local de San Cristóbal terminó 57 actuaciones administrativas en primera instancia, lo que representa un resultado acumulado del 16,43%</t>
  </si>
  <si>
    <t>Se realizaron 27 operativos en la zona de influencia de la localidad referente al proteccion de los cerros orienttales y proteccion de medio ambiente en cumplimiento a lo establecido por ley</t>
  </si>
  <si>
    <t>Se realizaron 62 operativos en la zona de influencia de la localidad referente al  actividad economica cumplimiento a lo establecido por ley</t>
  </si>
  <si>
    <t>Se realizaron 77 operativos en la zona de influencia de la localidad referente al  actividad economica cumplimiento a lo establecido por ley</t>
  </si>
  <si>
    <t xml:space="preserve">Se realizaron 45 acciones de control urbanismos mediante  visitas tecnicas de obras realizadas en la localidad de san cristobal </t>
  </si>
  <si>
    <t>Se realizaron 31 operativos en la zona de influencia de la localidad referente al proteccion de los cerros orienttales y proteccion de medio ambiente en cumplimiento a lo establecido por ley</t>
  </si>
  <si>
    <t>Implementación del Sistema de Gestión Ambiental en un porcentaje de 58%, resultados obtenidos de la inspección ambiental realizada el 20  de mayo de 2021, empleando el formato: PLE-PIN-F012 Formato inspecciones ambientales para verificación de implementación del plan institucional de gestión ambiental.</t>
  </si>
  <si>
    <t> Reporte de gestión ambiental OAP</t>
  </si>
  <si>
    <t>La localidad tiene 6 acciones de las cuales 1 presenta vencimiento. El porcentaje que muestra el avance en el cierre o cumplimiento de acciones vencidas frente a las acciones asignadas en aplicativo MIMEC para los planes de mejora en ejecución.</t>
  </si>
  <si>
    <t>Reporte de acciones de mejora MIMEC.</t>
  </si>
  <si>
    <t>http://www.sancristobal.gov.co/tabla_archivos/107-registros-publicaciones</t>
  </si>
  <si>
    <t xml:space="preserve">La Alcaldía Local San Cristobal ha cumplido con 111 de los 115 requisitos de publicación de información en su página web, de acuerdo con lo previsto en la Ley 1712 de 2014, según lo informado por la Oficina Asesora de Comunicaciones de la SDG mediante memorando No. 20211400241773, lo que representa un avance del 96,52% para el II Trimestre de 2021 y del 32,14% para la vigencia. </t>
  </si>
  <si>
    <t xml:space="preserve">Implementación del Sistema de Gestión Ambiental en un porcentaje de 58%, resultados obtenidos de la inspección ambiental realizada el 20  de mayo de 2021, empleando el formato: PLE-PIN-F012 Formato inspecciones ambientales para verificación de implementación del plan institucional de gestión ambiental. La meta presenta un avance acumulado del 36,25% para la vigencia. </t>
  </si>
  <si>
    <t xml:space="preserve">La localidad tiene 6 acciones de las cuales 1 presenta vencimiento. El porcentaje que muestra el avance en el cierre o cumplimiento de acciones vencidas frente a las acciones asignadas en aplicativo MIMEC para los planes de mejora en ejecución.  La meta presenta un avance acumulado del 45,75% para la vigencia. </t>
  </si>
  <si>
    <t>La alcaldía local de San Cristobal asistió a la capacitación brindada a los promotores de mejora, en la que se brindaron lineamientos sobre la gestión de riesgos, planes de mejora, planeación institucional y PAAC.</t>
  </si>
  <si>
    <t xml:space="preserve"> Registro de asistencia Teams. </t>
  </si>
  <si>
    <t>Reporte de atención de requerimientos ciudadanos Subsecretaría de Gestión Institucional</t>
  </si>
  <si>
    <t xml:space="preserve">La Localidad de San Cristóbal ha atendido 13.761 requerimientos ciudadanos, de los 13.865 recibidos, lo que representa un 99,2% de gestión frente a la meta prevista. </t>
  </si>
  <si>
    <t>La Alcaldía Local de San Cristobal logró la ejecución de 22 propuestas ganadoras de presupuestos participativos (Fase II), de las 137 propuestas ganadoras.</t>
  </si>
  <si>
    <t>Reporte Dirección para la Gestión del Desarrollo Local</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</si>
  <si>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</si>
  <si>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La Alcaldía Local San Cristobal ha cumplido con 111 de los 115 requisitos de publicación de información en su página web, de acuerdo con lo previsto en la Ley 1712 de 2014, según lo informado por la Oficina Asesora de Comunicaciones de la SDG mediante memorando No. 20211400241773, lo que representa un avance del 96,52% para el II Trimestre de 2021</t>
  </si>
  <si>
    <t xml:space="preserve">Para el primer trimestre de la vigencia 2021, el plan de gestión de la Alcaldía Local alcanzó un nivel de desempeño del 74% de acuerdo con lo programado, y del 30% acumulado para la vigencia.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numeran las metas. </t>
  </si>
  <si>
    <t>30 de julio de 2021</t>
  </si>
  <si>
    <t>Para el segundo trimestre de la vigencia 2021, el plan de gestión de la Alcaldía Local alcanzó un nivel de desempeño del 87,99% de acuerdo con lo programado, y del 52,27%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</si>
</sst>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8" x14ac:knownFonts="1">
    <font>
      <sz val="11"/>
      <color theme="1"/>
      <name val="Calibri"/>
      <family val="2"/>
      <scheme val="minor"/>
    </font>
    <font>
      <sz val="11"/>
      <color indexed="8"/>
      <name val="Calibri Light"/>
      <family val="2"/>
    </font>
    <font>
      <b/>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
      <b/>
      <sz val="11"/>
      <color rgb="FF0070C0"/>
      <name val="Calibri Light"/>
      <family val="2"/>
      <scheme val="major"/>
    </font>
    <font>
      <sz val="11"/>
      <color rgb="FF000000"/>
      <name val="Calibri Light"/>
      <family val="2"/>
      <scheme val="major"/>
    </font>
    <font>
      <b/>
      <sz val="11"/>
      <name val="Calibri Light"/>
      <family val="2"/>
    </font>
    <font>
      <sz val="11"/>
      <name val="Calibri Light"/>
      <family val="2"/>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41" fontId="3" fillId="0" borderId="0" applyFont="0" applyFill="0" applyBorder="0" applyAlignment="0" applyProtection="0"/>
    <xf numFmtId="9" fontId="3" fillId="0" borderId="0" applyFont="0" applyFill="0" applyBorder="0" applyAlignment="0" applyProtection="0"/>
  </cellStyleXfs>
  <cellXfs count="150">
    <xf numFmtId="0" fontId="0" fillId="0" borderId="0" xfId="0"/>
    <xf numFmtId="0" fontId="4" fillId="0" borderId="0" xfId="0" applyFont="1" applyAlignment="1" applyProtection="1">
      <alignment wrapText="1"/>
      <protection hidden="1"/>
    </xf>
    <xf numFmtId="0" fontId="4" fillId="0" borderId="0" xfId="0" applyFont="1" applyAlignment="1" applyProtection="1">
      <alignment vertical="center" wrapText="1"/>
      <protection hidden="1"/>
    </xf>
    <xf numFmtId="0" fontId="5" fillId="2" borderId="1" xfId="0" applyFont="1" applyFill="1" applyBorder="1" applyAlignment="1" applyProtection="1">
      <alignment wrapText="1"/>
      <protection hidden="1"/>
    </xf>
    <xf numFmtId="10" fontId="4" fillId="0" borderId="1" xfId="2" applyNumberFormat="1" applyFont="1" applyBorder="1" applyAlignment="1" applyProtection="1">
      <alignment horizontal="right" vertical="top" wrapText="1"/>
      <protection hidden="1"/>
    </xf>
    <xf numFmtId="10" fontId="4" fillId="0" borderId="1" xfId="0" applyNumberFormat="1" applyFont="1" applyBorder="1" applyAlignment="1" applyProtection="1">
      <alignment horizontal="left" vertical="top" wrapText="1"/>
      <protection hidden="1"/>
    </xf>
    <xf numFmtId="9" fontId="4" fillId="0" borderId="1" xfId="0" applyNumberFormat="1" applyFont="1" applyBorder="1" applyAlignment="1" applyProtection="1">
      <alignment horizontal="left" vertical="top" wrapText="1"/>
      <protection hidden="1"/>
    </xf>
    <xf numFmtId="9" fontId="4" fillId="0" borderId="1" xfId="2" applyFont="1" applyBorder="1" applyAlignment="1" applyProtection="1">
      <alignment horizontal="left" vertical="top" wrapText="1"/>
      <protection hidden="1"/>
    </xf>
    <xf numFmtId="0" fontId="6" fillId="0" borderId="1" xfId="0" applyFont="1" applyBorder="1" applyAlignment="1" applyProtection="1">
      <alignment horizontal="left" vertical="top" wrapText="1"/>
      <protection hidden="1"/>
    </xf>
    <xf numFmtId="0" fontId="4" fillId="0" borderId="1" xfId="0" applyFont="1" applyFill="1" applyBorder="1" applyAlignment="1" applyProtection="1">
      <alignment horizontal="left" vertical="top" wrapText="1"/>
      <protection hidden="1"/>
    </xf>
    <xf numFmtId="10" fontId="4" fillId="0" borderId="1" xfId="2" applyNumberFormat="1" applyFont="1" applyFill="1" applyBorder="1" applyAlignment="1" applyProtection="1">
      <alignment horizontal="right" vertical="top" wrapText="1"/>
      <protection hidden="1"/>
    </xf>
    <xf numFmtId="41" fontId="4" fillId="0" borderId="1" xfId="1" applyFont="1" applyFill="1" applyBorder="1" applyAlignment="1" applyProtection="1">
      <alignment horizontal="left" vertical="top" wrapText="1"/>
      <protection hidden="1"/>
    </xf>
    <xf numFmtId="41" fontId="4" fillId="0" borderId="1" xfId="0" applyNumberFormat="1" applyFont="1" applyFill="1" applyBorder="1" applyAlignment="1" applyProtection="1">
      <alignment horizontal="left" vertical="top" wrapText="1"/>
      <protection hidden="1"/>
    </xf>
    <xf numFmtId="0" fontId="4" fillId="0" borderId="1" xfId="0" applyFont="1" applyFill="1" applyBorder="1" applyAlignment="1" applyProtection="1">
      <alignment horizontal="right" vertical="top" wrapText="1"/>
      <protection hidden="1"/>
    </xf>
    <xf numFmtId="0" fontId="4" fillId="0" borderId="1" xfId="0" applyFont="1" applyBorder="1" applyAlignment="1" applyProtection="1">
      <alignment horizontal="right" vertical="top" wrapText="1"/>
      <protection hidden="1"/>
    </xf>
    <xf numFmtId="41" fontId="4" fillId="0" borderId="1" xfId="0" applyNumberFormat="1" applyFont="1" applyBorder="1" applyAlignment="1" applyProtection="1">
      <alignment horizontal="left" vertical="top" wrapText="1"/>
      <protection hidden="1"/>
    </xf>
    <xf numFmtId="0" fontId="7" fillId="2" borderId="1" xfId="0" applyFont="1" applyFill="1" applyBorder="1" applyAlignment="1" applyProtection="1">
      <alignment wrapText="1"/>
      <protection hidden="1"/>
    </xf>
    <xf numFmtId="0" fontId="8" fillId="2" borderId="1" xfId="0" applyFont="1" applyFill="1" applyBorder="1" applyAlignment="1" applyProtection="1">
      <protection hidden="1"/>
    </xf>
    <xf numFmtId="9" fontId="8" fillId="2" borderId="1" xfId="2"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2" applyNumberFormat="1" applyFont="1" applyFill="1" applyBorder="1" applyAlignment="1" applyProtection="1">
      <alignment horizontal="right" vertical="top" wrapText="1"/>
      <protection hidden="1"/>
    </xf>
    <xf numFmtId="9" fontId="9" fillId="3" borderId="1" xfId="2"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2"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0" fontId="5" fillId="5" borderId="1" xfId="0" applyFont="1" applyFill="1" applyBorder="1" applyAlignment="1" applyProtection="1">
      <alignment horizontal="center" vertical="center" wrapText="1"/>
      <protection hidden="1"/>
    </xf>
    <xf numFmtId="9" fontId="4" fillId="0" borderId="1" xfId="0" applyNumberFormat="1" applyFont="1" applyBorder="1" applyAlignment="1" applyProtection="1">
      <alignment horizontal="right" vertical="top" wrapText="1"/>
      <protection hidden="1"/>
    </xf>
    <xf numFmtId="0" fontId="4" fillId="0" borderId="0" xfId="0" applyFont="1" applyAlignment="1" applyProtection="1">
      <alignment horizontal="left" vertical="top" wrapText="1"/>
      <protection hidden="1"/>
    </xf>
    <xf numFmtId="41" fontId="4" fillId="0" borderId="1" xfId="1" applyFont="1" applyFill="1" applyBorder="1" applyAlignment="1" applyProtection="1">
      <alignment vertical="top" wrapText="1"/>
      <protection hidden="1"/>
    </xf>
    <xf numFmtId="0" fontId="4" fillId="0" borderId="0" xfId="0" applyFont="1" applyFill="1" applyAlignment="1" applyProtection="1">
      <alignment horizontal="left" vertical="top" wrapText="1"/>
      <protection hidden="1"/>
    </xf>
    <xf numFmtId="41" fontId="4" fillId="0" borderId="1" xfId="1" applyFont="1" applyBorder="1" applyAlignment="1" applyProtection="1">
      <alignment horizontal="left" vertical="top" wrapText="1"/>
      <protection hidden="1"/>
    </xf>
    <xf numFmtId="41" fontId="4" fillId="0" borderId="1" xfId="1" applyFont="1" applyBorder="1" applyAlignment="1" applyProtection="1">
      <alignment vertical="top" wrapText="1"/>
      <protection hidden="1"/>
    </xf>
    <xf numFmtId="0" fontId="7" fillId="0" borderId="0" xfId="0" applyFont="1" applyAlignment="1" applyProtection="1">
      <alignment wrapText="1"/>
      <protection hidden="1"/>
    </xf>
    <xf numFmtId="0" fontId="11" fillId="0" borderId="0" xfId="0" applyFont="1" applyAlignment="1" applyProtection="1">
      <alignment wrapText="1"/>
      <protection hidden="1"/>
    </xf>
    <xf numFmtId="0" fontId="4" fillId="0" borderId="0" xfId="0" applyFont="1" applyAlignment="1" applyProtection="1">
      <alignment horizontal="center" vertical="top" wrapText="1"/>
      <protection hidden="1"/>
    </xf>
    <xf numFmtId="9" fontId="4" fillId="0" borderId="1" xfId="0" applyNumberFormat="1" applyFont="1" applyBorder="1" applyAlignment="1" applyProtection="1">
      <alignment horizontal="center" vertical="top" wrapText="1"/>
      <protection hidden="1"/>
    </xf>
    <xf numFmtId="41" fontId="4" fillId="0" borderId="1" xfId="1" applyFont="1" applyFill="1" applyBorder="1" applyAlignment="1" applyProtection="1">
      <alignment horizontal="center" vertical="top" wrapText="1"/>
      <protection hidden="1"/>
    </xf>
    <xf numFmtId="41" fontId="4" fillId="0" borderId="1" xfId="1" applyFont="1" applyBorder="1" applyAlignment="1" applyProtection="1">
      <alignment horizontal="center" vertical="top" wrapText="1"/>
      <protection hidden="1"/>
    </xf>
    <xf numFmtId="9" fontId="8" fillId="2" borderId="1" xfId="2" applyFont="1" applyFill="1" applyBorder="1" applyAlignment="1" applyProtection="1">
      <alignment horizontal="center" vertical="top" wrapText="1"/>
      <protection hidden="1"/>
    </xf>
    <xf numFmtId="9" fontId="9" fillId="0" borderId="1" xfId="2" applyFont="1" applyBorder="1" applyAlignment="1" applyProtection="1">
      <alignment horizontal="center" vertical="top" wrapText="1"/>
      <protection hidden="1"/>
    </xf>
    <xf numFmtId="0" fontId="9" fillId="0" borderId="1" xfId="0" applyFont="1" applyBorder="1" applyAlignment="1" applyProtection="1">
      <alignment horizontal="center" vertical="top" wrapText="1"/>
      <protection hidden="1"/>
    </xf>
    <xf numFmtId="9" fontId="10" fillId="2" borderId="1" xfId="0" applyNumberFormat="1" applyFont="1" applyFill="1" applyBorder="1" applyAlignment="1" applyProtection="1">
      <alignment horizontal="center" vertical="top" wrapText="1"/>
      <protection hidden="1"/>
    </xf>
    <xf numFmtId="9" fontId="11" fillId="4" borderId="1" xfId="2" applyFont="1" applyFill="1" applyBorder="1" applyAlignment="1" applyProtection="1">
      <alignment horizontal="center" vertical="top" wrapText="1"/>
      <protection hidden="1"/>
    </xf>
    <xf numFmtId="10" fontId="4" fillId="0" borderId="1" xfId="0" applyNumberFormat="1" applyFont="1" applyBorder="1" applyAlignment="1" applyProtection="1">
      <alignment horizontal="center" vertical="top" wrapText="1"/>
      <protection hidden="1"/>
    </xf>
    <xf numFmtId="0" fontId="4" fillId="0" borderId="1" xfId="0" applyFont="1" applyFill="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9" fontId="4" fillId="0" borderId="1" xfId="2" applyFont="1" applyBorder="1" applyAlignment="1" applyProtection="1">
      <alignment horizontal="center" vertical="top" wrapText="1"/>
      <protection hidden="1"/>
    </xf>
    <xf numFmtId="164" fontId="4" fillId="0" borderId="1" xfId="2"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9" fontId="12" fillId="4" borderId="1" xfId="0" applyNumberFormat="1" applyFont="1" applyFill="1" applyBorder="1" applyAlignment="1" applyProtection="1">
      <alignment horizontal="center" vertical="top" wrapText="1"/>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vertical="center" wrapText="1"/>
      <protection hidden="1"/>
    </xf>
    <xf numFmtId="9" fontId="4" fillId="0" borderId="1" xfId="0" applyNumberFormat="1" applyFont="1" applyBorder="1" applyAlignment="1" applyProtection="1">
      <alignment horizontal="justify" vertical="top" wrapText="1"/>
      <protection hidden="1"/>
    </xf>
    <xf numFmtId="0" fontId="7" fillId="2" borderId="1" xfId="0" applyFont="1" applyFill="1" applyBorder="1" applyAlignment="1" applyProtection="1">
      <alignment horizontal="justify" wrapText="1"/>
      <protection hidden="1"/>
    </xf>
    <xf numFmtId="0" fontId="9" fillId="0" borderId="1" xfId="0" applyFont="1" applyBorder="1" applyAlignment="1" applyProtection="1">
      <alignment horizontal="justify" vertical="top" wrapText="1"/>
      <protection hidden="1"/>
    </xf>
    <xf numFmtId="0" fontId="11" fillId="4" borderId="1" xfId="0" applyFont="1" applyFill="1" applyBorder="1" applyAlignment="1" applyProtection="1">
      <alignment horizontal="justify" wrapText="1"/>
      <protection hidden="1"/>
    </xf>
    <xf numFmtId="0" fontId="4" fillId="0" borderId="1" xfId="0" applyFont="1" applyFill="1" applyBorder="1" applyAlignment="1" applyProtection="1">
      <alignment horizontal="justify" vertical="top" wrapText="1"/>
      <protection hidden="1"/>
    </xf>
    <xf numFmtId="0" fontId="5" fillId="7" borderId="1" xfId="0" applyFont="1" applyFill="1" applyBorder="1" applyAlignment="1" applyProtection="1">
      <alignment horizontal="center" vertical="center" wrapText="1"/>
      <protection hidden="1"/>
    </xf>
    <xf numFmtId="164" fontId="4" fillId="0" borderId="1" xfId="0" applyNumberFormat="1" applyFont="1" applyBorder="1" applyAlignment="1" applyProtection="1">
      <alignment horizontal="center" vertical="top"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justify" vertical="top" wrapText="1"/>
      <protection hidden="1"/>
    </xf>
    <xf numFmtId="9" fontId="5" fillId="2" borderId="1" xfId="2" applyFont="1" applyFill="1" applyBorder="1" applyAlignment="1" applyProtection="1">
      <alignment horizontal="center" vertical="top" wrapText="1"/>
      <protection hidden="1"/>
    </xf>
    <xf numFmtId="9" fontId="5" fillId="2" borderId="1" xfId="2" applyFont="1" applyFill="1" applyBorder="1" applyAlignment="1" applyProtection="1">
      <alignment vertical="top" wrapText="1"/>
      <protection hidden="1"/>
    </xf>
    <xf numFmtId="0" fontId="4" fillId="2" borderId="1" xfId="0" applyFont="1" applyFill="1" applyBorder="1" applyAlignment="1" applyProtection="1">
      <alignment vertical="top" wrapText="1"/>
      <protection hidden="1"/>
    </xf>
    <xf numFmtId="9" fontId="5" fillId="2" borderId="1" xfId="2" applyFont="1" applyFill="1" applyBorder="1" applyAlignment="1" applyProtection="1">
      <alignment horizontal="right" vertical="top" wrapText="1"/>
      <protection hidden="1"/>
    </xf>
    <xf numFmtId="0" fontId="4" fillId="2" borderId="1" xfId="0" applyFont="1" applyFill="1" applyBorder="1" applyAlignment="1" applyProtection="1">
      <alignment horizontal="justify" vertical="top" wrapText="1"/>
      <protection hidden="1"/>
    </xf>
    <xf numFmtId="9" fontId="14" fillId="2" borderId="1" xfId="0" applyNumberFormat="1" applyFont="1" applyFill="1" applyBorder="1" applyAlignment="1" applyProtection="1">
      <alignment vertical="top" wrapText="1"/>
      <protection hidden="1"/>
    </xf>
    <xf numFmtId="9" fontId="14" fillId="2" borderId="1" xfId="0" applyNumberFormat="1" applyFont="1" applyFill="1" applyBorder="1" applyAlignment="1" applyProtection="1">
      <alignment horizontal="center" vertical="top" wrapText="1"/>
      <protection hidden="1"/>
    </xf>
    <xf numFmtId="9" fontId="4" fillId="4" borderId="1" xfId="2" applyFont="1" applyFill="1" applyBorder="1" applyAlignment="1" applyProtection="1">
      <alignment vertical="top" wrapText="1"/>
      <protection hidden="1"/>
    </xf>
    <xf numFmtId="9" fontId="4" fillId="4" borderId="1" xfId="2" applyFont="1" applyFill="1" applyBorder="1" applyAlignment="1" applyProtection="1">
      <alignment horizontal="center" vertical="top" wrapText="1"/>
      <protection hidden="1"/>
    </xf>
    <xf numFmtId="9" fontId="5" fillId="4" borderId="1" xfId="0" applyNumberFormat="1" applyFont="1" applyFill="1" applyBorder="1" applyAlignment="1" applyProtection="1">
      <alignment horizontal="center" vertical="top" wrapText="1"/>
      <protection hidden="1"/>
    </xf>
    <xf numFmtId="0" fontId="4" fillId="4" borderId="1" xfId="0" applyFont="1" applyFill="1" applyBorder="1" applyAlignment="1" applyProtection="1">
      <alignment vertical="top" wrapText="1"/>
      <protection hidden="1"/>
    </xf>
    <xf numFmtId="0" fontId="4" fillId="4" borderId="1" xfId="0" applyFont="1" applyFill="1" applyBorder="1" applyAlignment="1" applyProtection="1">
      <alignment horizontal="justify" vertical="top" wrapText="1"/>
      <protection hidden="1"/>
    </xf>
    <xf numFmtId="9" fontId="9" fillId="0" borderId="1" xfId="2" applyFont="1" applyBorder="1" applyAlignment="1" applyProtection="1">
      <alignment horizontal="justify" vertical="top" wrapText="1"/>
      <protection hidden="1"/>
    </xf>
    <xf numFmtId="164" fontId="9" fillId="0" borderId="1" xfId="2" applyNumberFormat="1" applyFont="1" applyBorder="1" applyAlignment="1" applyProtection="1">
      <alignment horizontal="center" vertical="top" wrapText="1"/>
      <protection hidden="1"/>
    </xf>
    <xf numFmtId="10" fontId="9" fillId="0" borderId="1" xfId="2" applyNumberFormat="1" applyFont="1" applyBorder="1" applyAlignment="1" applyProtection="1">
      <alignment horizontal="center" vertical="top" wrapText="1"/>
      <protection hidden="1"/>
    </xf>
    <xf numFmtId="164" fontId="9" fillId="0" borderId="1" xfId="0" applyNumberFormat="1" applyFont="1" applyBorder="1" applyAlignment="1" applyProtection="1">
      <alignment horizontal="center" vertical="top" wrapText="1"/>
      <protection hidden="1"/>
    </xf>
    <xf numFmtId="0" fontId="5"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6"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top" wrapText="1"/>
      <protection hidden="1"/>
    </xf>
    <xf numFmtId="0" fontId="5" fillId="8" borderId="1" xfId="0" applyFont="1" applyFill="1" applyBorder="1" applyAlignment="1" applyProtection="1">
      <alignment horizontal="center" vertical="top" wrapText="1"/>
      <protection hidden="1"/>
    </xf>
    <xf numFmtId="0" fontId="5" fillId="9" borderId="1" xfId="0" applyFont="1" applyFill="1" applyBorder="1" applyAlignment="1" applyProtection="1">
      <alignment horizontal="center" vertical="top" wrapText="1"/>
      <protection hidden="1"/>
    </xf>
    <xf numFmtId="10" fontId="6" fillId="0" borderId="1" xfId="2" applyNumberFormat="1" applyFont="1" applyBorder="1" applyAlignment="1" applyProtection="1">
      <alignment horizontal="right" vertical="top" wrapText="1"/>
      <protection hidden="1"/>
    </xf>
    <xf numFmtId="9" fontId="6" fillId="0" borderId="1" xfId="0" applyNumberFormat="1" applyFont="1" applyBorder="1" applyAlignment="1" applyProtection="1">
      <alignment horizontal="left" vertical="top" wrapText="1"/>
      <protection hidden="1"/>
    </xf>
    <xf numFmtId="9" fontId="6" fillId="0" borderId="1" xfId="0" applyNumberFormat="1" applyFont="1" applyBorder="1" applyAlignment="1" applyProtection="1">
      <alignment horizontal="center" vertical="top" wrapText="1"/>
      <protection hidden="1"/>
    </xf>
    <xf numFmtId="10" fontId="6" fillId="0" borderId="1" xfId="0" applyNumberFormat="1" applyFont="1" applyBorder="1" applyAlignment="1" applyProtection="1">
      <alignment horizontal="center" vertical="top" wrapText="1"/>
      <protection hidden="1"/>
    </xf>
    <xf numFmtId="9" fontId="6" fillId="0" borderId="1" xfId="0" applyNumberFormat="1" applyFont="1" applyBorder="1" applyAlignment="1" applyProtection="1">
      <alignment horizontal="right" vertical="top" wrapText="1"/>
      <protection hidden="1"/>
    </xf>
    <xf numFmtId="0" fontId="6" fillId="0" borderId="0" xfId="0" applyFont="1" applyAlignment="1" applyProtection="1">
      <alignment horizontal="left" vertical="top" wrapText="1"/>
      <protection hidden="1"/>
    </xf>
    <xf numFmtId="10" fontId="14" fillId="2" borderId="1" xfId="0" applyNumberFormat="1" applyFont="1" applyFill="1" applyBorder="1" applyAlignment="1" applyProtection="1">
      <alignment horizontal="center" vertical="top" wrapText="1"/>
      <protection hidden="1"/>
    </xf>
    <xf numFmtId="10" fontId="5" fillId="4" borderId="1" xfId="0" applyNumberFormat="1" applyFont="1" applyFill="1" applyBorder="1" applyAlignment="1" applyProtection="1">
      <alignment horizontal="center" vertical="top" wrapText="1"/>
      <protection hidden="1"/>
    </xf>
    <xf numFmtId="10" fontId="5" fillId="2" borderId="1" xfId="2" applyNumberFormat="1" applyFont="1" applyFill="1" applyBorder="1" applyAlignment="1" applyProtection="1">
      <alignment horizontal="center" vertical="top" wrapText="1"/>
      <protection hidden="1"/>
    </xf>
    <xf numFmtId="0" fontId="5" fillId="5" borderId="5" xfId="0" applyFont="1" applyFill="1" applyBorder="1" applyAlignment="1" applyProtection="1">
      <alignment horizontal="center" vertical="top" wrapText="1"/>
      <protection hidden="1"/>
    </xf>
    <xf numFmtId="0" fontId="5" fillId="5" borderId="6" xfId="0" applyFont="1" applyFill="1" applyBorder="1" applyAlignment="1" applyProtection="1">
      <alignment horizontal="center" vertical="top" wrapText="1"/>
      <protection hidden="1"/>
    </xf>
    <xf numFmtId="0" fontId="5" fillId="5" borderId="2" xfId="0" applyFont="1" applyFill="1" applyBorder="1" applyAlignment="1" applyProtection="1">
      <alignment horizontal="center" vertical="top" wrapText="1"/>
      <protection hidden="1"/>
    </xf>
    <xf numFmtId="0" fontId="5" fillId="6"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wrapText="1"/>
      <protection hidden="1"/>
    </xf>
    <xf numFmtId="0" fontId="4" fillId="0" borderId="1" xfId="0" applyFont="1" applyBorder="1" applyAlignment="1" applyProtection="1">
      <alignment horizontal="center" wrapText="1"/>
      <protection hidden="1"/>
    </xf>
    <xf numFmtId="0" fontId="4" fillId="0" borderId="1" xfId="0" applyFont="1" applyBorder="1" applyAlignment="1" applyProtection="1">
      <alignment horizontal="justify"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top" wrapText="1"/>
      <protection hidden="1"/>
    </xf>
    <xf numFmtId="0" fontId="5" fillId="8" borderId="1" xfId="0" applyFont="1" applyFill="1" applyBorder="1" applyAlignment="1" applyProtection="1">
      <alignment horizontal="center" vertical="top" wrapText="1"/>
      <protection hidden="1"/>
    </xf>
    <xf numFmtId="0" fontId="5" fillId="9" borderId="1" xfId="0" applyFont="1" applyFill="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0" borderId="7"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164" fontId="15" fillId="0" borderId="1" xfId="0" applyNumberFormat="1" applyFont="1" applyFill="1" applyBorder="1" applyAlignment="1" applyProtection="1">
      <alignment horizontal="center" vertical="top" wrapText="1"/>
    </xf>
    <xf numFmtId="10" fontId="15" fillId="0" borderId="2" xfId="0" applyNumberFormat="1" applyFont="1" applyFill="1" applyBorder="1" applyAlignment="1" applyProtection="1">
      <alignment horizontal="center" vertical="top" wrapText="1"/>
    </xf>
    <xf numFmtId="0" fontId="4" fillId="0" borderId="1" xfId="0" applyFont="1" applyBorder="1" applyAlignment="1" applyProtection="1">
      <alignment horizontal="justify" vertical="top" wrapText="1"/>
    </xf>
    <xf numFmtId="9" fontId="4" fillId="0" borderId="1" xfId="2" applyFont="1" applyBorder="1" applyAlignment="1" applyProtection="1">
      <alignment horizontal="right" vertical="top" wrapText="1"/>
    </xf>
    <xf numFmtId="10" fontId="4" fillId="0" borderId="1" xfId="2" applyNumberFormat="1" applyFont="1" applyBorder="1" applyAlignment="1" applyProtection="1">
      <alignment horizontal="center" vertical="top" wrapText="1"/>
    </xf>
    <xf numFmtId="9" fontId="17" fillId="10" borderId="1" xfId="0" applyNumberFormat="1" applyFont="1" applyFill="1" applyBorder="1" applyAlignment="1" applyProtection="1">
      <alignment horizontal="center" vertical="top" wrapText="1"/>
    </xf>
    <xf numFmtId="9" fontId="17" fillId="10" borderId="2" xfId="0" applyNumberFormat="1" applyFont="1" applyFill="1" applyBorder="1" applyAlignment="1" applyProtection="1">
      <alignment horizontal="center" vertical="top" wrapText="1"/>
    </xf>
    <xf numFmtId="0" fontId="6" fillId="0" borderId="1" xfId="0" applyFont="1" applyBorder="1" applyAlignment="1" applyProtection="1">
      <alignment horizontal="justify" vertical="top" wrapText="1"/>
      <protection hidden="1"/>
    </xf>
    <xf numFmtId="10" fontId="6" fillId="0" borderId="2" xfId="0" applyNumberFormat="1" applyFont="1" applyFill="1" applyBorder="1" applyAlignment="1" applyProtection="1">
      <alignment horizontal="center" vertical="top" wrapText="1"/>
    </xf>
    <xf numFmtId="0" fontId="6" fillId="0" borderId="8" xfId="0" applyFont="1" applyFill="1" applyBorder="1" applyAlignment="1" applyProtection="1">
      <alignment horizontal="justify" vertical="top" wrapText="1"/>
    </xf>
    <xf numFmtId="9" fontId="6" fillId="0" borderId="1" xfId="2" applyFont="1" applyBorder="1" applyAlignment="1" applyProtection="1">
      <alignment horizontal="right" vertical="top" wrapText="1"/>
    </xf>
    <xf numFmtId="10" fontId="6" fillId="0" borderId="1" xfId="2" applyNumberFormat="1" applyFont="1" applyBorder="1" applyAlignment="1" applyProtection="1">
      <alignment horizontal="center" vertical="top" wrapText="1"/>
    </xf>
    <xf numFmtId="9" fontId="13" fillId="10" borderId="3" xfId="0" applyNumberFormat="1" applyFont="1" applyFill="1" applyBorder="1" applyAlignment="1" applyProtection="1">
      <alignment horizontal="center" vertical="top" wrapText="1"/>
    </xf>
    <xf numFmtId="9" fontId="13" fillId="10" borderId="4" xfId="0" applyNumberFormat="1" applyFont="1" applyFill="1" applyBorder="1" applyAlignment="1" applyProtection="1">
      <alignment horizontal="center" vertical="top" wrapText="1"/>
    </xf>
    <xf numFmtId="0" fontId="13" fillId="0" borderId="3" xfId="0" applyFont="1" applyBorder="1" applyAlignment="1" applyProtection="1">
      <alignment horizontal="justify" wrapText="1"/>
    </xf>
    <xf numFmtId="0" fontId="4" fillId="0" borderId="1" xfId="0" applyFont="1" applyBorder="1" applyAlignment="1" applyProtection="1">
      <alignment horizontal="justify" vertical="top" wrapText="1"/>
      <protection hidden="1"/>
    </xf>
    <xf numFmtId="10" fontId="15" fillId="0" borderId="9" xfId="0" applyNumberFormat="1" applyFont="1" applyFill="1" applyBorder="1" applyAlignment="1" applyProtection="1">
      <alignment horizontal="center" vertical="top" wrapText="1"/>
    </xf>
    <xf numFmtId="10" fontId="15" fillId="0" borderId="3" xfId="0" applyNumberFormat="1" applyFont="1" applyFill="1" applyBorder="1" applyAlignment="1" applyProtection="1">
      <alignment horizontal="center" vertical="top" wrapText="1"/>
    </xf>
    <xf numFmtId="10" fontId="15" fillId="0" borderId="10" xfId="0" applyNumberFormat="1" applyFont="1" applyFill="1" applyBorder="1" applyAlignment="1" applyProtection="1">
      <alignment horizontal="center" vertical="top" wrapText="1"/>
    </xf>
    <xf numFmtId="164" fontId="13" fillId="10" borderId="4" xfId="0" applyNumberFormat="1" applyFont="1" applyFill="1" applyBorder="1" applyAlignment="1" applyProtection="1">
      <alignment horizontal="center" vertical="top" wrapText="1"/>
    </xf>
    <xf numFmtId="10" fontId="15" fillId="10" borderId="9" xfId="0" applyNumberFormat="1" applyFont="1" applyFill="1" applyBorder="1" applyAlignment="1" applyProtection="1">
      <alignment horizontal="center" vertical="top" wrapText="1"/>
    </xf>
    <xf numFmtId="0" fontId="15" fillId="0" borderId="8" xfId="0" applyFont="1" applyFill="1" applyBorder="1" applyAlignment="1" applyProtection="1">
      <alignment horizontal="justify" vertical="top" wrapText="1"/>
    </xf>
    <xf numFmtId="10" fontId="13" fillId="10" borderId="3" xfId="0" applyNumberFormat="1" applyFont="1" applyFill="1" applyBorder="1" applyAlignment="1" applyProtection="1">
      <alignment horizontal="center" vertical="top" wrapText="1"/>
    </xf>
    <xf numFmtId="9" fontId="15" fillId="10" borderId="3" xfId="0" applyNumberFormat="1" applyFont="1" applyFill="1" applyBorder="1" applyAlignment="1" applyProtection="1">
      <alignment horizontal="center" vertical="top" wrapText="1"/>
    </xf>
    <xf numFmtId="10" fontId="15" fillId="10" borderId="3" xfId="0" applyNumberFormat="1" applyFont="1" applyFill="1" applyBorder="1" applyAlignment="1" applyProtection="1">
      <alignment horizontal="center" vertical="top" wrapText="1"/>
    </xf>
    <xf numFmtId="9" fontId="15" fillId="10" borderId="1" xfId="0" applyNumberFormat="1" applyFont="1" applyFill="1" applyBorder="1" applyAlignment="1" applyProtection="1">
      <alignment horizontal="center" vertical="top" wrapText="1"/>
    </xf>
    <xf numFmtId="0" fontId="13" fillId="10" borderId="3" xfId="0" applyFont="1" applyFill="1" applyBorder="1" applyAlignment="1" applyProtection="1">
      <alignment horizontal="center" vertical="top" wrapText="1"/>
    </xf>
    <xf numFmtId="0" fontId="15" fillId="0" borderId="1" xfId="0" applyFont="1" applyFill="1" applyBorder="1" applyAlignment="1" applyProtection="1">
      <alignment horizontal="center" vertical="top" wrapText="1"/>
    </xf>
    <xf numFmtId="1" fontId="4" fillId="0" borderId="1" xfId="0" applyNumberFormat="1" applyFont="1" applyBorder="1" applyAlignment="1" applyProtection="1">
      <alignment horizontal="right" vertical="top" wrapText="1"/>
    </xf>
    <xf numFmtId="0" fontId="15" fillId="0" borderId="10" xfId="0" applyFont="1" applyFill="1" applyBorder="1" applyAlignment="1" applyProtection="1">
      <alignment horizontal="center" vertical="top" wrapText="1"/>
    </xf>
    <xf numFmtId="0" fontId="15" fillId="10" borderId="9" xfId="0" applyFont="1" applyFill="1" applyBorder="1" applyAlignment="1" applyProtection="1">
      <alignment horizontal="center" vertical="top" wrapText="1"/>
    </xf>
    <xf numFmtId="0" fontId="15" fillId="0" borderId="3" xfId="0" applyFont="1" applyFill="1" applyBorder="1" applyAlignment="1" applyProtection="1">
      <alignment horizontal="center" vertical="top"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4572C49C-2EEB-4AEA-944C-3977DBF7F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ncristobal.gov.co/tabla_archivos/107-registros-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showGridLines="0" tabSelected="1" zoomScale="70" zoomScaleNormal="70" workbookViewId="0">
      <selection sqref="A1:K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3.5703125" style="1" customWidth="1"/>
    <col min="7" max="7" width="21.140625" style="1" customWidth="1"/>
    <col min="8" max="8" width="28.42578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41" customWidth="1"/>
    <col min="25" max="25" width="52.7109375" style="57" customWidth="1"/>
    <col min="26" max="26" width="38.5703125" style="57" customWidth="1"/>
    <col min="27" max="27" width="19.28515625" style="66" customWidth="1"/>
    <col min="28" max="29" width="16.5703125" style="66" customWidth="1"/>
    <col min="30" max="30" width="55.140625" style="67" customWidth="1"/>
    <col min="31" max="31" width="35.42578125" style="67" customWidth="1"/>
    <col min="32" max="32" width="20.42578125" style="66" hidden="1" customWidth="1"/>
    <col min="33" max="36" width="16.5703125" style="66" hidden="1" customWidth="1"/>
    <col min="37" max="37" width="20.5703125" style="66" hidden="1" customWidth="1"/>
    <col min="38" max="41" width="16.5703125" style="66" hidden="1" customWidth="1"/>
    <col min="42" max="43" width="16.5703125" style="41" customWidth="1"/>
    <col min="44" max="44" width="21.5703125" style="41" customWidth="1"/>
    <col min="45" max="45" width="54" style="67" customWidth="1"/>
    <col min="46" max="16384" width="10.85546875" style="1"/>
  </cols>
  <sheetData>
    <row r="1" spans="1:45" ht="70.5" customHeight="1" x14ac:dyDescent="0.25">
      <c r="A1" s="113" t="s">
        <v>0</v>
      </c>
      <c r="B1" s="114"/>
      <c r="C1" s="114"/>
      <c r="D1" s="114"/>
      <c r="E1" s="114"/>
      <c r="F1" s="114"/>
      <c r="G1" s="114"/>
      <c r="H1" s="114"/>
      <c r="I1" s="114"/>
      <c r="J1" s="114"/>
      <c r="K1" s="114"/>
      <c r="L1" s="115" t="s">
        <v>1</v>
      </c>
      <c r="M1" s="115"/>
      <c r="N1" s="115"/>
      <c r="O1" s="115"/>
      <c r="P1" s="115"/>
    </row>
    <row r="2" spans="1:45" s="2" customFormat="1" ht="23.45" customHeight="1" x14ac:dyDescent="0.25">
      <c r="A2" s="116" t="s">
        <v>2</v>
      </c>
      <c r="B2" s="117"/>
      <c r="C2" s="117"/>
      <c r="D2" s="117"/>
      <c r="E2" s="117"/>
      <c r="F2" s="117"/>
      <c r="G2" s="117"/>
      <c r="H2" s="117"/>
      <c r="I2" s="117"/>
      <c r="J2" s="117"/>
      <c r="K2" s="117"/>
      <c r="L2" s="117"/>
      <c r="M2" s="117"/>
      <c r="N2" s="117"/>
      <c r="O2" s="117"/>
      <c r="P2" s="117"/>
      <c r="V2" s="41"/>
      <c r="W2" s="41"/>
      <c r="X2" s="41"/>
      <c r="Y2" s="58"/>
      <c r="Z2" s="58"/>
      <c r="AA2" s="66"/>
      <c r="AB2" s="66"/>
      <c r="AC2" s="66"/>
      <c r="AD2" s="67"/>
      <c r="AE2" s="67"/>
      <c r="AF2" s="66"/>
      <c r="AG2" s="66"/>
      <c r="AH2" s="66"/>
      <c r="AI2" s="66"/>
      <c r="AJ2" s="66"/>
      <c r="AK2" s="66"/>
      <c r="AL2" s="66"/>
      <c r="AM2" s="66"/>
      <c r="AN2" s="66"/>
      <c r="AO2" s="66"/>
      <c r="AP2" s="41"/>
      <c r="AQ2" s="41"/>
      <c r="AR2" s="41"/>
      <c r="AS2" s="67"/>
    </row>
    <row r="3" spans="1:45" x14ac:dyDescent="0.25"/>
    <row r="4" spans="1:45" ht="29.1" customHeight="1" x14ac:dyDescent="0.25">
      <c r="A4" s="105" t="s">
        <v>3</v>
      </c>
      <c r="B4" s="105"/>
      <c r="C4" s="115" t="s">
        <v>4</v>
      </c>
      <c r="D4" s="115"/>
      <c r="F4" s="105" t="s">
        <v>5</v>
      </c>
      <c r="G4" s="105"/>
      <c r="H4" s="105"/>
      <c r="I4" s="105"/>
      <c r="J4" s="105"/>
      <c r="K4" s="105"/>
    </row>
    <row r="5" spans="1:45" x14ac:dyDescent="0.25">
      <c r="A5" s="105"/>
      <c r="B5" s="105"/>
      <c r="C5" s="115"/>
      <c r="D5" s="115"/>
      <c r="F5" s="3" t="s">
        <v>6</v>
      </c>
      <c r="G5" s="3" t="s">
        <v>7</v>
      </c>
      <c r="H5" s="106" t="s">
        <v>8</v>
      </c>
      <c r="I5" s="106"/>
      <c r="J5" s="106"/>
      <c r="K5" s="106"/>
    </row>
    <row r="6" spans="1:45" x14ac:dyDescent="0.25">
      <c r="A6" s="105"/>
      <c r="B6" s="105"/>
      <c r="C6" s="115"/>
      <c r="D6" s="115"/>
      <c r="F6" s="85">
        <v>1</v>
      </c>
      <c r="G6" s="85" t="s">
        <v>9</v>
      </c>
      <c r="H6" s="107" t="s">
        <v>10</v>
      </c>
      <c r="I6" s="107"/>
      <c r="J6" s="107"/>
      <c r="K6" s="107"/>
    </row>
    <row r="7" spans="1:45" ht="150.75" customHeight="1" x14ac:dyDescent="0.25">
      <c r="A7" s="105"/>
      <c r="B7" s="105"/>
      <c r="C7" s="115"/>
      <c r="D7" s="115"/>
      <c r="F7" s="85">
        <v>2</v>
      </c>
      <c r="G7" s="85" t="s">
        <v>11</v>
      </c>
      <c r="H7" s="108" t="s">
        <v>280</v>
      </c>
      <c r="I7" s="108"/>
      <c r="J7" s="108"/>
      <c r="K7" s="108"/>
    </row>
    <row r="8" spans="1:45" ht="77.25" customHeight="1" x14ac:dyDescent="0.25">
      <c r="A8" s="105"/>
      <c r="B8" s="105"/>
      <c r="C8" s="115"/>
      <c r="D8" s="115"/>
      <c r="F8" s="85">
        <v>3</v>
      </c>
      <c r="G8" s="85" t="s">
        <v>281</v>
      </c>
      <c r="H8" s="108" t="s">
        <v>282</v>
      </c>
      <c r="I8" s="108"/>
      <c r="J8" s="108"/>
      <c r="K8" s="108"/>
    </row>
    <row r="9" spans="1:45" x14ac:dyDescent="0.25"/>
    <row r="10" spans="1:45" x14ac:dyDescent="0.25">
      <c r="A10" s="105" t="s">
        <v>12</v>
      </c>
      <c r="B10" s="105"/>
      <c r="C10" s="105" t="s">
        <v>13</v>
      </c>
      <c r="D10" s="105" t="s">
        <v>14</v>
      </c>
      <c r="E10" s="105"/>
      <c r="F10" s="105"/>
      <c r="G10" s="105"/>
      <c r="H10" s="105"/>
      <c r="I10" s="105"/>
      <c r="J10" s="105"/>
      <c r="K10" s="105"/>
      <c r="L10" s="105"/>
      <c r="M10" s="105"/>
      <c r="N10" s="105"/>
      <c r="O10" s="105"/>
      <c r="P10" s="105"/>
      <c r="Q10" s="109" t="s">
        <v>15</v>
      </c>
      <c r="R10" s="109"/>
      <c r="S10" s="109"/>
      <c r="T10" s="109"/>
      <c r="U10" s="109"/>
      <c r="V10" s="104" t="s">
        <v>16</v>
      </c>
      <c r="W10" s="104"/>
      <c r="X10" s="104"/>
      <c r="Y10" s="104"/>
      <c r="Z10" s="104"/>
      <c r="AA10" s="110" t="s">
        <v>16</v>
      </c>
      <c r="AB10" s="110"/>
      <c r="AC10" s="110"/>
      <c r="AD10" s="110"/>
      <c r="AE10" s="110"/>
      <c r="AF10" s="111" t="s">
        <v>16</v>
      </c>
      <c r="AG10" s="111"/>
      <c r="AH10" s="111"/>
      <c r="AI10" s="111"/>
      <c r="AJ10" s="111"/>
      <c r="AK10" s="112" t="s">
        <v>16</v>
      </c>
      <c r="AL10" s="112"/>
      <c r="AM10" s="112"/>
      <c r="AN10" s="112"/>
      <c r="AO10" s="112"/>
      <c r="AP10" s="101" t="s">
        <v>17</v>
      </c>
      <c r="AQ10" s="102"/>
      <c r="AR10" s="102"/>
      <c r="AS10" s="103"/>
    </row>
    <row r="11" spans="1:45" ht="19.5" customHeight="1" x14ac:dyDescent="0.25">
      <c r="A11" s="105"/>
      <c r="B11" s="105"/>
      <c r="C11" s="105"/>
      <c r="D11" s="105"/>
      <c r="E11" s="105"/>
      <c r="F11" s="105"/>
      <c r="G11" s="105"/>
      <c r="H11" s="105"/>
      <c r="I11" s="105"/>
      <c r="J11" s="105"/>
      <c r="K11" s="105"/>
      <c r="L11" s="105"/>
      <c r="M11" s="105"/>
      <c r="N11" s="105"/>
      <c r="O11" s="105"/>
      <c r="P11" s="105"/>
      <c r="Q11" s="109"/>
      <c r="R11" s="109"/>
      <c r="S11" s="109"/>
      <c r="T11" s="109"/>
      <c r="U11" s="109"/>
      <c r="V11" s="104" t="s">
        <v>18</v>
      </c>
      <c r="W11" s="104"/>
      <c r="X11" s="104"/>
      <c r="Y11" s="104"/>
      <c r="Z11" s="104"/>
      <c r="AA11" s="110" t="s">
        <v>19</v>
      </c>
      <c r="AB11" s="110"/>
      <c r="AC11" s="110"/>
      <c r="AD11" s="110"/>
      <c r="AE11" s="110"/>
      <c r="AF11" s="111" t="s">
        <v>20</v>
      </c>
      <c r="AG11" s="111"/>
      <c r="AH11" s="111"/>
      <c r="AI11" s="111"/>
      <c r="AJ11" s="111"/>
      <c r="AK11" s="112" t="s">
        <v>21</v>
      </c>
      <c r="AL11" s="112"/>
      <c r="AM11" s="112"/>
      <c r="AN11" s="112"/>
      <c r="AO11" s="112"/>
      <c r="AP11" s="101" t="s">
        <v>22</v>
      </c>
      <c r="AQ11" s="102"/>
      <c r="AR11" s="102"/>
      <c r="AS11" s="103"/>
    </row>
    <row r="12" spans="1:45" ht="60" x14ac:dyDescent="0.25">
      <c r="A12" s="84" t="s">
        <v>23</v>
      </c>
      <c r="B12" s="84" t="s">
        <v>24</v>
      </c>
      <c r="C12" s="105"/>
      <c r="D12" s="84" t="s">
        <v>25</v>
      </c>
      <c r="E12" s="84" t="s">
        <v>26</v>
      </c>
      <c r="F12" s="84" t="s">
        <v>27</v>
      </c>
      <c r="G12" s="84" t="s">
        <v>28</v>
      </c>
      <c r="H12" s="84" t="s">
        <v>29</v>
      </c>
      <c r="I12" s="84" t="s">
        <v>30</v>
      </c>
      <c r="J12" s="84" t="s">
        <v>31</v>
      </c>
      <c r="K12" s="84" t="s">
        <v>32</v>
      </c>
      <c r="L12" s="84" t="s">
        <v>33</v>
      </c>
      <c r="M12" s="84" t="s">
        <v>34</v>
      </c>
      <c r="N12" s="84" t="s">
        <v>35</v>
      </c>
      <c r="O12" s="84" t="s">
        <v>36</v>
      </c>
      <c r="P12" s="84" t="s">
        <v>37</v>
      </c>
      <c r="Q12" s="88" t="s">
        <v>38</v>
      </c>
      <c r="R12" s="88" t="s">
        <v>39</v>
      </c>
      <c r="S12" s="88" t="s">
        <v>40</v>
      </c>
      <c r="T12" s="88" t="s">
        <v>41</v>
      </c>
      <c r="U12" s="88" t="s">
        <v>42</v>
      </c>
      <c r="V12" s="87" t="s">
        <v>43</v>
      </c>
      <c r="W12" s="87" t="s">
        <v>44</v>
      </c>
      <c r="X12" s="87" t="s">
        <v>45</v>
      </c>
      <c r="Y12" s="87" t="s">
        <v>46</v>
      </c>
      <c r="Z12" s="87" t="s">
        <v>47</v>
      </c>
      <c r="AA12" s="89" t="s">
        <v>43</v>
      </c>
      <c r="AB12" s="64" t="s">
        <v>44</v>
      </c>
      <c r="AC12" s="64" t="s">
        <v>45</v>
      </c>
      <c r="AD12" s="64" t="s">
        <v>46</v>
      </c>
      <c r="AE12" s="64" t="s">
        <v>47</v>
      </c>
      <c r="AF12" s="90" t="s">
        <v>43</v>
      </c>
      <c r="AG12" s="90" t="s">
        <v>44</v>
      </c>
      <c r="AH12" s="90" t="s">
        <v>45</v>
      </c>
      <c r="AI12" s="90" t="s">
        <v>46</v>
      </c>
      <c r="AJ12" s="90" t="s">
        <v>47</v>
      </c>
      <c r="AK12" s="91" t="s">
        <v>43</v>
      </c>
      <c r="AL12" s="91" t="s">
        <v>44</v>
      </c>
      <c r="AM12" s="91" t="s">
        <v>45</v>
      </c>
      <c r="AN12" s="91" t="s">
        <v>46</v>
      </c>
      <c r="AO12" s="91" t="s">
        <v>47</v>
      </c>
      <c r="AP12" s="32" t="s">
        <v>43</v>
      </c>
      <c r="AQ12" s="32" t="s">
        <v>44</v>
      </c>
      <c r="AR12" s="32" t="s">
        <v>45</v>
      </c>
      <c r="AS12" s="32" t="s">
        <v>48</v>
      </c>
    </row>
    <row r="13" spans="1:45" s="34" customFormat="1" ht="233.25" customHeight="1" x14ac:dyDescent="0.25">
      <c r="A13" s="86">
        <v>4</v>
      </c>
      <c r="B13" s="86" t="s">
        <v>49</v>
      </c>
      <c r="C13" s="86" t="s">
        <v>50</v>
      </c>
      <c r="D13" s="86" t="s">
        <v>51</v>
      </c>
      <c r="E13" s="4">
        <f t="shared" ref="E13:E30" si="0">+(5.55555555555556%*80%)/100%</f>
        <v>4.4444444444444481E-2</v>
      </c>
      <c r="F13" s="86" t="s">
        <v>52</v>
      </c>
      <c r="G13" s="86" t="s">
        <v>53</v>
      </c>
      <c r="H13" s="86" t="s">
        <v>54</v>
      </c>
      <c r="I13" s="5">
        <v>6.6000000000000003E-2</v>
      </c>
      <c r="J13" s="86" t="s">
        <v>55</v>
      </c>
      <c r="K13" s="86" t="s">
        <v>56</v>
      </c>
      <c r="L13" s="6">
        <v>0</v>
      </c>
      <c r="M13" s="6">
        <v>0.02</v>
      </c>
      <c r="N13" s="6">
        <v>0.06</v>
      </c>
      <c r="O13" s="6">
        <v>0.1</v>
      </c>
      <c r="P13" s="6">
        <v>0.1</v>
      </c>
      <c r="Q13" s="86" t="s">
        <v>57</v>
      </c>
      <c r="R13" s="86" t="s">
        <v>58</v>
      </c>
      <c r="S13" s="86" t="s">
        <v>59</v>
      </c>
      <c r="T13" s="86" t="s">
        <v>60</v>
      </c>
      <c r="U13" s="86" t="s">
        <v>61</v>
      </c>
      <c r="V13" s="42" t="s">
        <v>62</v>
      </c>
      <c r="W13" s="42" t="s">
        <v>62</v>
      </c>
      <c r="X13" s="42" t="s">
        <v>62</v>
      </c>
      <c r="Y13" s="59" t="s">
        <v>63</v>
      </c>
      <c r="Z13" s="59" t="s">
        <v>62</v>
      </c>
      <c r="AA13" s="42">
        <f>M13</f>
        <v>0.02</v>
      </c>
      <c r="AB13" s="118">
        <v>2.5000000000000001E-2</v>
      </c>
      <c r="AC13" s="119">
        <f>IF(AB13/AA13&gt;100%,100%,AB13/AA13)</f>
        <v>1</v>
      </c>
      <c r="AD13" s="120" t="s">
        <v>231</v>
      </c>
      <c r="AE13" s="120" t="s">
        <v>230</v>
      </c>
      <c r="AF13" s="33">
        <f>N13</f>
        <v>0.06</v>
      </c>
      <c r="AG13" s="121"/>
      <c r="AH13" s="122">
        <f>IF(AG13/AF13&gt;100%,100%,AG13/AF13)</f>
        <v>0</v>
      </c>
      <c r="AI13" s="86"/>
      <c r="AJ13" s="86"/>
      <c r="AK13" s="33">
        <f>O13</f>
        <v>0.1</v>
      </c>
      <c r="AL13" s="121"/>
      <c r="AM13" s="122">
        <f>IF(AL13/AK13&gt;100%,100%,AL13/AK13)</f>
        <v>0</v>
      </c>
      <c r="AN13" s="86"/>
      <c r="AO13" s="86"/>
      <c r="AP13" s="42">
        <f>P13</f>
        <v>0.1</v>
      </c>
      <c r="AQ13" s="65">
        <v>2.5000000000000001E-2</v>
      </c>
      <c r="AR13" s="119">
        <f t="shared" ref="AR13:AR36" si="1">IF(AQ13/AP13&gt;100%,100%,AQ13/AP13)</f>
        <v>0.25</v>
      </c>
      <c r="AS13" s="120" t="s">
        <v>243</v>
      </c>
    </row>
    <row r="14" spans="1:45" s="34" customFormat="1" ht="90" x14ac:dyDescent="0.25">
      <c r="A14" s="86">
        <v>4</v>
      </c>
      <c r="B14" s="86" t="s">
        <v>49</v>
      </c>
      <c r="C14" s="86" t="s">
        <v>50</v>
      </c>
      <c r="D14" s="86" t="s">
        <v>64</v>
      </c>
      <c r="E14" s="4">
        <f t="shared" si="0"/>
        <v>4.4444444444444481E-2</v>
      </c>
      <c r="F14" s="86" t="s">
        <v>52</v>
      </c>
      <c r="G14" s="86" t="s">
        <v>65</v>
      </c>
      <c r="H14" s="86" t="s">
        <v>66</v>
      </c>
      <c r="I14" s="86" t="s">
        <v>67</v>
      </c>
      <c r="J14" s="86" t="s">
        <v>68</v>
      </c>
      <c r="K14" s="86" t="s">
        <v>56</v>
      </c>
      <c r="L14" s="6">
        <v>0</v>
      </c>
      <c r="M14" s="6">
        <v>0</v>
      </c>
      <c r="N14" s="6">
        <v>0</v>
      </c>
      <c r="O14" s="6">
        <v>0.15</v>
      </c>
      <c r="P14" s="6">
        <v>0.15</v>
      </c>
      <c r="Q14" s="86" t="s">
        <v>57</v>
      </c>
      <c r="R14" s="86" t="s">
        <v>69</v>
      </c>
      <c r="S14" s="86" t="s">
        <v>70</v>
      </c>
      <c r="T14" s="86" t="s">
        <v>60</v>
      </c>
      <c r="U14" s="86" t="s">
        <v>71</v>
      </c>
      <c r="V14" s="42" t="s">
        <v>62</v>
      </c>
      <c r="W14" s="42" t="s">
        <v>62</v>
      </c>
      <c r="X14" s="42" t="s">
        <v>62</v>
      </c>
      <c r="Y14" s="59" t="s">
        <v>63</v>
      </c>
      <c r="Z14" s="59" t="s">
        <v>62</v>
      </c>
      <c r="AA14" s="42" t="s">
        <v>62</v>
      </c>
      <c r="AB14" s="42" t="s">
        <v>62</v>
      </c>
      <c r="AC14" s="50" t="s">
        <v>62</v>
      </c>
      <c r="AD14" s="59" t="s">
        <v>232</v>
      </c>
      <c r="AE14" s="59" t="s">
        <v>62</v>
      </c>
      <c r="AF14" s="33">
        <f t="shared" ref="AF14:AF36" si="2">N14</f>
        <v>0</v>
      </c>
      <c r="AG14" s="121">
        <v>0</v>
      </c>
      <c r="AH14" s="122" t="e">
        <f>IF(AG14/AF14&gt;100%,100%,AG14/AF14)</f>
        <v>#DIV/0!</v>
      </c>
      <c r="AI14" s="86"/>
      <c r="AJ14" s="86"/>
      <c r="AK14" s="33">
        <f t="shared" ref="AK14:AK36" si="3">O14</f>
        <v>0.15</v>
      </c>
      <c r="AL14" s="121">
        <v>0</v>
      </c>
      <c r="AM14" s="122">
        <f>IF(AL14/AK14&gt;100%,100%,AL14/AK14)</f>
        <v>0</v>
      </c>
      <c r="AN14" s="86"/>
      <c r="AO14" s="86"/>
      <c r="AP14" s="42">
        <f t="shared" ref="AP14:AP36" si="4">P14</f>
        <v>0.15</v>
      </c>
      <c r="AQ14" s="42">
        <v>0</v>
      </c>
      <c r="AR14" s="119">
        <f t="shared" si="1"/>
        <v>0</v>
      </c>
      <c r="AS14" s="59" t="s">
        <v>237</v>
      </c>
    </row>
    <row r="15" spans="1:45" s="97" customFormat="1" ht="57" customHeight="1" x14ac:dyDescent="0.25">
      <c r="A15" s="8">
        <v>4</v>
      </c>
      <c r="B15" s="8" t="s">
        <v>49</v>
      </c>
      <c r="C15" s="8" t="s">
        <v>50</v>
      </c>
      <c r="D15" s="8" t="s">
        <v>278</v>
      </c>
      <c r="E15" s="92">
        <f t="shared" si="0"/>
        <v>4.4444444444444481E-2</v>
      </c>
      <c r="F15" s="8" t="s">
        <v>72</v>
      </c>
      <c r="G15" s="8" t="s">
        <v>73</v>
      </c>
      <c r="H15" s="8" t="s">
        <v>74</v>
      </c>
      <c r="I15" s="8" t="s">
        <v>67</v>
      </c>
      <c r="J15" s="8" t="s">
        <v>55</v>
      </c>
      <c r="K15" s="8" t="s">
        <v>56</v>
      </c>
      <c r="L15" s="93">
        <v>0.05</v>
      </c>
      <c r="M15" s="93">
        <v>0.4</v>
      </c>
      <c r="N15" s="93">
        <v>0.8</v>
      </c>
      <c r="O15" s="93">
        <v>1</v>
      </c>
      <c r="P15" s="93">
        <v>1</v>
      </c>
      <c r="Q15" s="8" t="s">
        <v>57</v>
      </c>
      <c r="R15" s="8" t="s">
        <v>75</v>
      </c>
      <c r="S15" s="8" t="s">
        <v>76</v>
      </c>
      <c r="T15" s="8" t="s">
        <v>60</v>
      </c>
      <c r="U15" s="8" t="s">
        <v>77</v>
      </c>
      <c r="V15" s="94">
        <f t="shared" ref="V15:V30" si="5">L15</f>
        <v>0.05</v>
      </c>
      <c r="W15" s="123">
        <v>0</v>
      </c>
      <c r="X15" s="124">
        <v>0</v>
      </c>
      <c r="Y15" s="125" t="s">
        <v>78</v>
      </c>
      <c r="Z15" s="125" t="s">
        <v>79</v>
      </c>
      <c r="AA15" s="94">
        <f t="shared" ref="AA15:AB36" si="6">M15</f>
        <v>0.4</v>
      </c>
      <c r="AB15" s="95">
        <v>0.16059999999999999</v>
      </c>
      <c r="AC15" s="126">
        <f t="shared" ref="AC15:AC36" si="7">IF(AB15/AA15&gt;100%,100%,AB15/AA15)</f>
        <v>0.40149999999999997</v>
      </c>
      <c r="AD15" s="127" t="s">
        <v>276</v>
      </c>
      <c r="AE15" s="127" t="s">
        <v>277</v>
      </c>
      <c r="AF15" s="96">
        <f t="shared" si="2"/>
        <v>0.8</v>
      </c>
      <c r="AG15" s="128"/>
      <c r="AH15" s="129">
        <f t="shared" ref="AH15:AH29" si="8">IF(AG15/AF15&gt;100%,100%,AG15/AF15)</f>
        <v>0</v>
      </c>
      <c r="AI15" s="8"/>
      <c r="AJ15" s="8"/>
      <c r="AK15" s="96">
        <f t="shared" si="3"/>
        <v>1</v>
      </c>
      <c r="AL15" s="128"/>
      <c r="AM15" s="129">
        <f t="shared" ref="AM15:AM29" si="9">IF(AL15/AK15&gt;100%,100%,AL15/AK15)</f>
        <v>0</v>
      </c>
      <c r="AN15" s="8"/>
      <c r="AO15" s="8"/>
      <c r="AP15" s="94">
        <f t="shared" si="4"/>
        <v>1</v>
      </c>
      <c r="AQ15" s="95">
        <v>0.16059999999999999</v>
      </c>
      <c r="AR15" s="126">
        <f t="shared" si="1"/>
        <v>0.16059999999999999</v>
      </c>
      <c r="AS15" s="127" t="s">
        <v>276</v>
      </c>
    </row>
    <row r="16" spans="1:45" s="34" customFormat="1" ht="100.5" customHeight="1" x14ac:dyDescent="0.25">
      <c r="A16" s="86">
        <v>4</v>
      </c>
      <c r="B16" s="86" t="s">
        <v>49</v>
      </c>
      <c r="C16" s="86" t="s">
        <v>80</v>
      </c>
      <c r="D16" s="86" t="s">
        <v>81</v>
      </c>
      <c r="E16" s="4">
        <f t="shared" si="0"/>
        <v>4.4444444444444481E-2</v>
      </c>
      <c r="F16" s="86" t="s">
        <v>52</v>
      </c>
      <c r="G16" s="86" t="s">
        <v>82</v>
      </c>
      <c r="H16" s="86" t="s">
        <v>83</v>
      </c>
      <c r="I16" s="6">
        <v>0.5</v>
      </c>
      <c r="J16" s="86" t="s">
        <v>55</v>
      </c>
      <c r="K16" s="86" t="s">
        <v>56</v>
      </c>
      <c r="L16" s="6">
        <v>0.15</v>
      </c>
      <c r="M16" s="6">
        <v>0.3</v>
      </c>
      <c r="N16" s="7">
        <v>0.45</v>
      </c>
      <c r="O16" s="7">
        <v>0.6</v>
      </c>
      <c r="P16" s="6">
        <v>0.6</v>
      </c>
      <c r="Q16" s="86" t="s">
        <v>84</v>
      </c>
      <c r="R16" s="86" t="s">
        <v>85</v>
      </c>
      <c r="S16" s="86" t="s">
        <v>86</v>
      </c>
      <c r="T16" s="86" t="s">
        <v>60</v>
      </c>
      <c r="U16" s="86" t="s">
        <v>87</v>
      </c>
      <c r="V16" s="42">
        <f t="shared" si="5"/>
        <v>0.15</v>
      </c>
      <c r="W16" s="130" t="s">
        <v>88</v>
      </c>
      <c r="X16" s="131">
        <v>1</v>
      </c>
      <c r="Y16" s="132" t="s">
        <v>89</v>
      </c>
      <c r="Z16" s="133" t="s">
        <v>90</v>
      </c>
      <c r="AA16" s="42">
        <f t="shared" si="6"/>
        <v>0.3</v>
      </c>
      <c r="AB16" s="134">
        <v>0.4587</v>
      </c>
      <c r="AC16" s="119">
        <f t="shared" si="7"/>
        <v>1</v>
      </c>
      <c r="AD16" s="120" t="s">
        <v>233</v>
      </c>
      <c r="AE16" s="120" t="s">
        <v>235</v>
      </c>
      <c r="AF16" s="33">
        <f t="shared" si="2"/>
        <v>0.45</v>
      </c>
      <c r="AG16" s="121"/>
      <c r="AH16" s="122">
        <f t="shared" si="8"/>
        <v>0</v>
      </c>
      <c r="AI16" s="86"/>
      <c r="AJ16" s="86"/>
      <c r="AK16" s="33">
        <f t="shared" si="3"/>
        <v>0.6</v>
      </c>
      <c r="AL16" s="121"/>
      <c r="AM16" s="122">
        <f t="shared" si="9"/>
        <v>0</v>
      </c>
      <c r="AN16" s="86"/>
      <c r="AO16" s="86"/>
      <c r="AP16" s="42">
        <f t="shared" si="4"/>
        <v>0.6</v>
      </c>
      <c r="AQ16" s="134">
        <v>0.4587</v>
      </c>
      <c r="AR16" s="119">
        <f t="shared" si="1"/>
        <v>0.76450000000000007</v>
      </c>
      <c r="AS16" s="120" t="s">
        <v>244</v>
      </c>
    </row>
    <row r="17" spans="1:45" s="34" customFormat="1" ht="135" x14ac:dyDescent="0.25">
      <c r="A17" s="86">
        <v>4</v>
      </c>
      <c r="B17" s="86" t="s">
        <v>49</v>
      </c>
      <c r="C17" s="86" t="s">
        <v>80</v>
      </c>
      <c r="D17" s="86" t="s">
        <v>91</v>
      </c>
      <c r="E17" s="4">
        <f t="shared" si="0"/>
        <v>4.4444444444444481E-2</v>
      </c>
      <c r="F17" s="86" t="s">
        <v>52</v>
      </c>
      <c r="G17" s="86" t="s">
        <v>92</v>
      </c>
      <c r="H17" s="86" t="s">
        <v>93</v>
      </c>
      <c r="I17" s="6">
        <v>0.6</v>
      </c>
      <c r="J17" s="86" t="s">
        <v>55</v>
      </c>
      <c r="K17" s="86" t="s">
        <v>56</v>
      </c>
      <c r="L17" s="6">
        <v>0.15</v>
      </c>
      <c r="M17" s="6">
        <v>0.3</v>
      </c>
      <c r="N17" s="7">
        <v>0.45</v>
      </c>
      <c r="O17" s="7">
        <v>0.6</v>
      </c>
      <c r="P17" s="6">
        <v>0.6</v>
      </c>
      <c r="Q17" s="86" t="s">
        <v>84</v>
      </c>
      <c r="R17" s="86" t="s">
        <v>85</v>
      </c>
      <c r="S17" s="86" t="s">
        <v>86</v>
      </c>
      <c r="T17" s="86" t="s">
        <v>60</v>
      </c>
      <c r="U17" s="86" t="s">
        <v>87</v>
      </c>
      <c r="V17" s="42">
        <f t="shared" si="5"/>
        <v>0.15</v>
      </c>
      <c r="W17" s="130">
        <v>0.47510000000000002</v>
      </c>
      <c r="X17" s="131">
        <v>1</v>
      </c>
      <c r="Y17" s="133" t="s">
        <v>94</v>
      </c>
      <c r="Z17" s="133" t="s">
        <v>90</v>
      </c>
      <c r="AA17" s="42">
        <f t="shared" si="6"/>
        <v>0.3</v>
      </c>
      <c r="AB17" s="135">
        <v>0.89639999999999997</v>
      </c>
      <c r="AC17" s="119">
        <f t="shared" si="7"/>
        <v>1</v>
      </c>
      <c r="AD17" s="120" t="s">
        <v>236</v>
      </c>
      <c r="AE17" s="120" t="s">
        <v>234</v>
      </c>
      <c r="AF17" s="33">
        <f t="shared" si="2"/>
        <v>0.45</v>
      </c>
      <c r="AG17" s="121"/>
      <c r="AH17" s="122">
        <f t="shared" si="8"/>
        <v>0</v>
      </c>
      <c r="AI17" s="86"/>
      <c r="AJ17" s="86"/>
      <c r="AK17" s="33">
        <f t="shared" si="3"/>
        <v>0.6</v>
      </c>
      <c r="AL17" s="121"/>
      <c r="AM17" s="122">
        <f t="shared" si="9"/>
        <v>0</v>
      </c>
      <c r="AN17" s="86"/>
      <c r="AO17" s="86"/>
      <c r="AP17" s="42">
        <f t="shared" si="4"/>
        <v>0.6</v>
      </c>
      <c r="AQ17" s="135">
        <v>0.89639999999999997</v>
      </c>
      <c r="AR17" s="119">
        <f t="shared" si="1"/>
        <v>1</v>
      </c>
      <c r="AS17" s="120" t="s">
        <v>245</v>
      </c>
    </row>
    <row r="18" spans="1:45" s="34" customFormat="1" ht="93" customHeight="1" x14ac:dyDescent="0.25">
      <c r="A18" s="86">
        <v>4</v>
      </c>
      <c r="B18" s="86" t="s">
        <v>49</v>
      </c>
      <c r="C18" s="86" t="s">
        <v>80</v>
      </c>
      <c r="D18" s="86" t="s">
        <v>95</v>
      </c>
      <c r="E18" s="4">
        <f t="shared" si="0"/>
        <v>4.4444444444444481E-2</v>
      </c>
      <c r="F18" s="86" t="s">
        <v>72</v>
      </c>
      <c r="G18" s="86" t="s">
        <v>96</v>
      </c>
      <c r="H18" s="86" t="s">
        <v>97</v>
      </c>
      <c r="I18" s="86"/>
      <c r="J18" s="86" t="s">
        <v>55</v>
      </c>
      <c r="K18" s="86" t="s">
        <v>56</v>
      </c>
      <c r="L18" s="6">
        <v>0.1</v>
      </c>
      <c r="M18" s="6">
        <v>0.25</v>
      </c>
      <c r="N18" s="6">
        <v>0.6</v>
      </c>
      <c r="O18" s="6">
        <v>0.95</v>
      </c>
      <c r="P18" s="6">
        <v>0.95</v>
      </c>
      <c r="Q18" s="86" t="s">
        <v>84</v>
      </c>
      <c r="R18" s="86" t="s">
        <v>85</v>
      </c>
      <c r="S18" s="86" t="s">
        <v>86</v>
      </c>
      <c r="T18" s="86" t="s">
        <v>60</v>
      </c>
      <c r="U18" s="86" t="s">
        <v>98</v>
      </c>
      <c r="V18" s="42">
        <f t="shared" si="5"/>
        <v>0.1</v>
      </c>
      <c r="W18" s="130">
        <v>0.22</v>
      </c>
      <c r="X18" s="131">
        <v>1</v>
      </c>
      <c r="Y18" s="133" t="s">
        <v>99</v>
      </c>
      <c r="Z18" s="133" t="s">
        <v>100</v>
      </c>
      <c r="AA18" s="42">
        <f t="shared" si="6"/>
        <v>0.25</v>
      </c>
      <c r="AB18" s="136">
        <v>0.41470000000000001</v>
      </c>
      <c r="AC18" s="119">
        <f t="shared" si="7"/>
        <v>1</v>
      </c>
      <c r="AD18" s="120" t="s">
        <v>238</v>
      </c>
      <c r="AE18" s="120" t="s">
        <v>234</v>
      </c>
      <c r="AF18" s="33">
        <f t="shared" si="2"/>
        <v>0.6</v>
      </c>
      <c r="AG18" s="121"/>
      <c r="AH18" s="122">
        <f t="shared" si="8"/>
        <v>0</v>
      </c>
      <c r="AI18" s="86"/>
      <c r="AJ18" s="86"/>
      <c r="AK18" s="33">
        <f t="shared" si="3"/>
        <v>0.95</v>
      </c>
      <c r="AL18" s="121"/>
      <c r="AM18" s="122">
        <f t="shared" si="9"/>
        <v>0</v>
      </c>
      <c r="AN18" s="86"/>
      <c r="AO18" s="86"/>
      <c r="AP18" s="42">
        <f t="shared" si="4"/>
        <v>0.95</v>
      </c>
      <c r="AQ18" s="136">
        <v>0.41470000000000001</v>
      </c>
      <c r="AR18" s="119">
        <f t="shared" si="1"/>
        <v>0.43652631578947371</v>
      </c>
      <c r="AS18" s="120" t="s">
        <v>246</v>
      </c>
    </row>
    <row r="19" spans="1:45" s="34" customFormat="1" ht="82.5" customHeight="1" x14ac:dyDescent="0.25">
      <c r="A19" s="86">
        <v>4</v>
      </c>
      <c r="B19" s="86" t="s">
        <v>49</v>
      </c>
      <c r="C19" s="86" t="s">
        <v>80</v>
      </c>
      <c r="D19" s="86" t="s">
        <v>101</v>
      </c>
      <c r="E19" s="4">
        <f t="shared" si="0"/>
        <v>4.4444444444444481E-2</v>
      </c>
      <c r="F19" s="86" t="s">
        <v>52</v>
      </c>
      <c r="G19" s="86" t="s">
        <v>102</v>
      </c>
      <c r="H19" s="86" t="s">
        <v>103</v>
      </c>
      <c r="I19" s="86"/>
      <c r="J19" s="86" t="s">
        <v>55</v>
      </c>
      <c r="K19" s="86" t="s">
        <v>56</v>
      </c>
      <c r="L19" s="6">
        <v>0.02</v>
      </c>
      <c r="M19" s="6">
        <v>0.1</v>
      </c>
      <c r="N19" s="6">
        <v>0.2</v>
      </c>
      <c r="O19" s="6">
        <v>0.4</v>
      </c>
      <c r="P19" s="6">
        <v>0.4</v>
      </c>
      <c r="Q19" s="86" t="s">
        <v>84</v>
      </c>
      <c r="R19" s="86" t="s">
        <v>85</v>
      </c>
      <c r="S19" s="86" t="s">
        <v>86</v>
      </c>
      <c r="T19" s="86" t="s">
        <v>60</v>
      </c>
      <c r="U19" s="86" t="s">
        <v>98</v>
      </c>
      <c r="V19" s="42">
        <f t="shared" si="5"/>
        <v>0.02</v>
      </c>
      <c r="W19" s="130">
        <v>7.0000000000000007E-2</v>
      </c>
      <c r="X19" s="131">
        <v>1</v>
      </c>
      <c r="Y19" s="133" t="s">
        <v>104</v>
      </c>
      <c r="Z19" s="133" t="s">
        <v>105</v>
      </c>
      <c r="AA19" s="42">
        <f t="shared" si="6"/>
        <v>0.1</v>
      </c>
      <c r="AB19" s="134">
        <v>0.2205</v>
      </c>
      <c r="AC19" s="119">
        <f t="shared" si="7"/>
        <v>1</v>
      </c>
      <c r="AD19" s="120" t="s">
        <v>239</v>
      </c>
      <c r="AE19" s="120" t="s">
        <v>234</v>
      </c>
      <c r="AF19" s="33">
        <f t="shared" si="2"/>
        <v>0.2</v>
      </c>
      <c r="AG19" s="121"/>
      <c r="AH19" s="122">
        <f t="shared" si="8"/>
        <v>0</v>
      </c>
      <c r="AI19" s="86"/>
      <c r="AJ19" s="86"/>
      <c r="AK19" s="33">
        <f t="shared" si="3"/>
        <v>0.4</v>
      </c>
      <c r="AL19" s="121"/>
      <c r="AM19" s="122">
        <f t="shared" si="9"/>
        <v>0</v>
      </c>
      <c r="AN19" s="86"/>
      <c r="AO19" s="86"/>
      <c r="AP19" s="42">
        <f t="shared" si="4"/>
        <v>0.4</v>
      </c>
      <c r="AQ19" s="50">
        <v>0.2205</v>
      </c>
      <c r="AR19" s="119">
        <f t="shared" si="1"/>
        <v>0.55125000000000002</v>
      </c>
      <c r="AS19" s="120" t="s">
        <v>247</v>
      </c>
    </row>
    <row r="20" spans="1:45" s="34" customFormat="1" ht="115.5" customHeight="1" x14ac:dyDescent="0.25">
      <c r="A20" s="86">
        <v>4</v>
      </c>
      <c r="B20" s="86" t="s">
        <v>49</v>
      </c>
      <c r="C20" s="86" t="s">
        <v>80</v>
      </c>
      <c r="D20" s="86" t="s">
        <v>106</v>
      </c>
      <c r="E20" s="4">
        <f t="shared" si="0"/>
        <v>4.4444444444444481E-2</v>
      </c>
      <c r="F20" s="86" t="s">
        <v>72</v>
      </c>
      <c r="G20" s="86" t="s">
        <v>107</v>
      </c>
      <c r="H20" s="86" t="s">
        <v>108</v>
      </c>
      <c r="I20" s="86"/>
      <c r="J20" s="86" t="s">
        <v>68</v>
      </c>
      <c r="K20" s="86" t="s">
        <v>56</v>
      </c>
      <c r="L20" s="6">
        <v>0.95</v>
      </c>
      <c r="M20" s="6">
        <v>0.95</v>
      </c>
      <c r="N20" s="6">
        <v>0.95</v>
      </c>
      <c r="O20" s="6">
        <v>0.95</v>
      </c>
      <c r="P20" s="6">
        <v>0.95</v>
      </c>
      <c r="Q20" s="86" t="s">
        <v>84</v>
      </c>
      <c r="R20" s="86" t="s">
        <v>85</v>
      </c>
      <c r="S20" s="86" t="s">
        <v>109</v>
      </c>
      <c r="T20" s="86" t="s">
        <v>60</v>
      </c>
      <c r="U20" s="8" t="s">
        <v>110</v>
      </c>
      <c r="V20" s="42">
        <f t="shared" si="5"/>
        <v>0.95</v>
      </c>
      <c r="W20" s="137">
        <v>0.98</v>
      </c>
      <c r="X20" s="131">
        <v>1</v>
      </c>
      <c r="Y20" s="133" t="s">
        <v>111</v>
      </c>
      <c r="Z20" s="133" t="s">
        <v>112</v>
      </c>
      <c r="AA20" s="42">
        <f t="shared" si="6"/>
        <v>0.95</v>
      </c>
      <c r="AB20" s="138">
        <v>0.98109999999999997</v>
      </c>
      <c r="AC20" s="119">
        <f t="shared" si="7"/>
        <v>1</v>
      </c>
      <c r="AD20" s="139" t="s">
        <v>240</v>
      </c>
      <c r="AE20" s="139" t="s">
        <v>241</v>
      </c>
      <c r="AF20" s="33">
        <f t="shared" si="2"/>
        <v>0.95</v>
      </c>
      <c r="AG20" s="121"/>
      <c r="AH20" s="122">
        <f t="shared" si="8"/>
        <v>0</v>
      </c>
      <c r="AI20" s="86"/>
      <c r="AJ20" s="86"/>
      <c r="AK20" s="33">
        <f t="shared" si="3"/>
        <v>0.95</v>
      </c>
      <c r="AL20" s="121"/>
      <c r="AM20" s="122">
        <f t="shared" si="9"/>
        <v>0</v>
      </c>
      <c r="AN20" s="86"/>
      <c r="AO20" s="86"/>
      <c r="AP20" s="42">
        <f t="shared" si="4"/>
        <v>0.95</v>
      </c>
      <c r="AQ20" s="54">
        <f>(98%*25%)+(98.11%*25%)</f>
        <v>0.49027500000000002</v>
      </c>
      <c r="AR20" s="119">
        <f t="shared" si="1"/>
        <v>0.51607894736842108</v>
      </c>
      <c r="AS20" s="120" t="s">
        <v>248</v>
      </c>
    </row>
    <row r="21" spans="1:45" s="34" customFormat="1" ht="106.5" customHeight="1" x14ac:dyDescent="0.25">
      <c r="A21" s="86">
        <v>4</v>
      </c>
      <c r="B21" s="86" t="s">
        <v>49</v>
      </c>
      <c r="C21" s="86" t="s">
        <v>80</v>
      </c>
      <c r="D21" s="86" t="s">
        <v>113</v>
      </c>
      <c r="E21" s="4">
        <f t="shared" si="0"/>
        <v>4.4444444444444481E-2</v>
      </c>
      <c r="F21" s="86" t="s">
        <v>52</v>
      </c>
      <c r="G21" s="86" t="s">
        <v>114</v>
      </c>
      <c r="H21" s="86" t="s">
        <v>115</v>
      </c>
      <c r="I21" s="86"/>
      <c r="J21" s="86" t="s">
        <v>68</v>
      </c>
      <c r="K21" s="86" t="s">
        <v>56</v>
      </c>
      <c r="L21" s="6">
        <v>1</v>
      </c>
      <c r="M21" s="6">
        <v>1</v>
      </c>
      <c r="N21" s="6">
        <v>1</v>
      </c>
      <c r="O21" s="6">
        <v>1</v>
      </c>
      <c r="P21" s="6">
        <v>1</v>
      </c>
      <c r="Q21" s="86" t="s">
        <v>84</v>
      </c>
      <c r="R21" s="8" t="s">
        <v>85</v>
      </c>
      <c r="S21" s="8" t="s">
        <v>116</v>
      </c>
      <c r="T21" s="8" t="s">
        <v>60</v>
      </c>
      <c r="U21" s="8" t="s">
        <v>117</v>
      </c>
      <c r="V21" s="42">
        <f t="shared" si="5"/>
        <v>1</v>
      </c>
      <c r="W21" s="140">
        <v>0.91300000000000003</v>
      </c>
      <c r="X21" s="140">
        <v>0.91300000000000003</v>
      </c>
      <c r="Y21" s="133" t="s">
        <v>118</v>
      </c>
      <c r="Z21" s="133" t="s">
        <v>112</v>
      </c>
      <c r="AA21" s="42">
        <f t="shared" si="6"/>
        <v>1</v>
      </c>
      <c r="AB21" s="141">
        <v>1</v>
      </c>
      <c r="AC21" s="119">
        <f t="shared" si="7"/>
        <v>1</v>
      </c>
      <c r="AD21" s="139" t="s">
        <v>242</v>
      </c>
      <c r="AE21" s="139" t="s">
        <v>234</v>
      </c>
      <c r="AF21" s="33">
        <f t="shared" si="2"/>
        <v>1</v>
      </c>
      <c r="AG21" s="121"/>
      <c r="AH21" s="122">
        <f t="shared" si="8"/>
        <v>0</v>
      </c>
      <c r="AI21" s="86"/>
      <c r="AJ21" s="86"/>
      <c r="AK21" s="33">
        <f t="shared" si="3"/>
        <v>1</v>
      </c>
      <c r="AL21" s="121"/>
      <c r="AM21" s="122">
        <f t="shared" si="9"/>
        <v>0</v>
      </c>
      <c r="AN21" s="86"/>
      <c r="AO21" s="86"/>
      <c r="AP21" s="42">
        <f t="shared" si="4"/>
        <v>1</v>
      </c>
      <c r="AQ21" s="142">
        <f>(91.3%*25%)+(100%*25%)</f>
        <v>0.47824999999999995</v>
      </c>
      <c r="AR21" s="119">
        <f t="shared" si="1"/>
        <v>0.47824999999999995</v>
      </c>
      <c r="AS21" s="139" t="s">
        <v>249</v>
      </c>
    </row>
    <row r="22" spans="1:45" s="34" customFormat="1" ht="92.25" customHeight="1" x14ac:dyDescent="0.25">
      <c r="A22" s="86">
        <v>4</v>
      </c>
      <c r="B22" s="86" t="s">
        <v>49</v>
      </c>
      <c r="C22" s="86" t="s">
        <v>80</v>
      </c>
      <c r="D22" s="86" t="s">
        <v>119</v>
      </c>
      <c r="E22" s="4">
        <f t="shared" si="0"/>
        <v>4.4444444444444481E-2</v>
      </c>
      <c r="F22" s="86" t="s">
        <v>52</v>
      </c>
      <c r="G22" s="86" t="s">
        <v>120</v>
      </c>
      <c r="H22" s="86" t="s">
        <v>121</v>
      </c>
      <c r="I22" s="86"/>
      <c r="J22" s="86" t="s">
        <v>68</v>
      </c>
      <c r="K22" s="86" t="s">
        <v>56</v>
      </c>
      <c r="L22" s="6">
        <v>0.95</v>
      </c>
      <c r="M22" s="6">
        <v>0.95</v>
      </c>
      <c r="N22" s="6">
        <v>0.95</v>
      </c>
      <c r="O22" s="6">
        <v>0.95</v>
      </c>
      <c r="P22" s="6">
        <v>0.95</v>
      </c>
      <c r="Q22" s="86" t="s">
        <v>84</v>
      </c>
      <c r="R22" s="86" t="s">
        <v>122</v>
      </c>
      <c r="S22" s="8" t="s">
        <v>116</v>
      </c>
      <c r="T22" s="86" t="s">
        <v>60</v>
      </c>
      <c r="U22" s="8" t="s">
        <v>117</v>
      </c>
      <c r="V22" s="42">
        <f t="shared" si="5"/>
        <v>0.95</v>
      </c>
      <c r="W22" s="130">
        <v>1</v>
      </c>
      <c r="X22" s="131">
        <v>1</v>
      </c>
      <c r="Y22" s="133" t="s">
        <v>123</v>
      </c>
      <c r="Z22" s="133" t="s">
        <v>124</v>
      </c>
      <c r="AA22" s="42">
        <f t="shared" si="6"/>
        <v>0.95</v>
      </c>
      <c r="AB22" s="143">
        <v>0.84</v>
      </c>
      <c r="AC22" s="119">
        <f t="shared" si="7"/>
        <v>0.88421052631578945</v>
      </c>
      <c r="AD22" s="139" t="s">
        <v>125</v>
      </c>
      <c r="AE22" s="139" t="s">
        <v>124</v>
      </c>
      <c r="AF22" s="33">
        <f t="shared" si="2"/>
        <v>0.95</v>
      </c>
      <c r="AG22" s="121"/>
      <c r="AH22" s="122">
        <f t="shared" si="8"/>
        <v>0</v>
      </c>
      <c r="AI22" s="86"/>
      <c r="AJ22" s="86"/>
      <c r="AK22" s="33">
        <f t="shared" si="3"/>
        <v>0.95</v>
      </c>
      <c r="AL22" s="121"/>
      <c r="AM22" s="122">
        <f t="shared" si="9"/>
        <v>0</v>
      </c>
      <c r="AN22" s="86"/>
      <c r="AO22" s="86"/>
      <c r="AP22" s="42">
        <f t="shared" si="4"/>
        <v>0.95</v>
      </c>
      <c r="AQ22" s="53">
        <f>(100%*25%)+(88%*25%)</f>
        <v>0.47</v>
      </c>
      <c r="AR22" s="119">
        <f t="shared" si="1"/>
        <v>0.49473684210526314</v>
      </c>
      <c r="AS22" s="133" t="s">
        <v>250</v>
      </c>
    </row>
    <row r="23" spans="1:45" s="36" customFormat="1" ht="60" x14ac:dyDescent="0.25">
      <c r="A23" s="9">
        <v>4</v>
      </c>
      <c r="B23" s="9" t="s">
        <v>49</v>
      </c>
      <c r="C23" s="9" t="s">
        <v>126</v>
      </c>
      <c r="D23" s="9" t="s">
        <v>127</v>
      </c>
      <c r="E23" s="10">
        <f t="shared" si="0"/>
        <v>4.4444444444444481E-2</v>
      </c>
      <c r="F23" s="9" t="s">
        <v>72</v>
      </c>
      <c r="G23" s="9" t="s">
        <v>128</v>
      </c>
      <c r="H23" s="9" t="s">
        <v>129</v>
      </c>
      <c r="I23" s="9"/>
      <c r="J23" s="9" t="s">
        <v>130</v>
      </c>
      <c r="K23" s="9" t="s">
        <v>131</v>
      </c>
      <c r="L23" s="11">
        <v>1536</v>
      </c>
      <c r="M23" s="11">
        <v>1536</v>
      </c>
      <c r="N23" s="11">
        <v>1536</v>
      </c>
      <c r="O23" s="11">
        <v>1536</v>
      </c>
      <c r="P23" s="12">
        <f>SUM(L23:O23)</f>
        <v>6144</v>
      </c>
      <c r="Q23" s="9" t="s">
        <v>84</v>
      </c>
      <c r="R23" s="9" t="s">
        <v>132</v>
      </c>
      <c r="S23" s="9" t="s">
        <v>133</v>
      </c>
      <c r="T23" s="9" t="s">
        <v>60</v>
      </c>
      <c r="U23" s="9" t="s">
        <v>133</v>
      </c>
      <c r="V23" s="43">
        <f t="shared" si="5"/>
        <v>1536</v>
      </c>
      <c r="W23" s="144">
        <v>2139</v>
      </c>
      <c r="X23" s="131">
        <v>1</v>
      </c>
      <c r="Y23" s="133" t="s">
        <v>134</v>
      </c>
      <c r="Z23" s="133" t="s">
        <v>135</v>
      </c>
      <c r="AA23" s="43">
        <f t="shared" si="6"/>
        <v>1536</v>
      </c>
      <c r="AB23" s="145">
        <v>4151</v>
      </c>
      <c r="AC23" s="119">
        <f t="shared" si="7"/>
        <v>1</v>
      </c>
      <c r="AD23" s="139" t="s">
        <v>251</v>
      </c>
      <c r="AE23" s="139" t="s">
        <v>252</v>
      </c>
      <c r="AF23" s="11">
        <f t="shared" si="2"/>
        <v>1536</v>
      </c>
      <c r="AG23" s="146"/>
      <c r="AH23" s="122">
        <f t="shared" si="8"/>
        <v>0</v>
      </c>
      <c r="AI23" s="9"/>
      <c r="AJ23" s="9"/>
      <c r="AK23" s="35">
        <f t="shared" si="3"/>
        <v>1536</v>
      </c>
      <c r="AL23" s="146"/>
      <c r="AM23" s="122">
        <f t="shared" si="9"/>
        <v>0</v>
      </c>
      <c r="AN23" s="9"/>
      <c r="AO23" s="9"/>
      <c r="AP23" s="43">
        <f t="shared" si="4"/>
        <v>6144</v>
      </c>
      <c r="AQ23" s="51">
        <f>2139+4151</f>
        <v>6290</v>
      </c>
      <c r="AR23" s="119">
        <f t="shared" si="1"/>
        <v>1</v>
      </c>
      <c r="AS23" s="139" t="s">
        <v>253</v>
      </c>
    </row>
    <row r="24" spans="1:45" s="36" customFormat="1" ht="60" x14ac:dyDescent="0.25">
      <c r="A24" s="9">
        <v>4</v>
      </c>
      <c r="B24" s="9" t="s">
        <v>49</v>
      </c>
      <c r="C24" s="9" t="s">
        <v>126</v>
      </c>
      <c r="D24" s="9" t="s">
        <v>136</v>
      </c>
      <c r="E24" s="10">
        <f t="shared" si="0"/>
        <v>4.4444444444444481E-2</v>
      </c>
      <c r="F24" s="9" t="s">
        <v>52</v>
      </c>
      <c r="G24" s="9" t="s">
        <v>137</v>
      </c>
      <c r="H24" s="9" t="s">
        <v>138</v>
      </c>
      <c r="I24" s="9"/>
      <c r="J24" s="9" t="s">
        <v>130</v>
      </c>
      <c r="K24" s="9" t="s">
        <v>139</v>
      </c>
      <c r="L24" s="11">
        <v>900</v>
      </c>
      <c r="M24" s="11">
        <v>900</v>
      </c>
      <c r="N24" s="11">
        <v>900</v>
      </c>
      <c r="O24" s="11">
        <v>900</v>
      </c>
      <c r="P24" s="12">
        <f>SUM(L24:O24)</f>
        <v>3600</v>
      </c>
      <c r="Q24" s="9" t="s">
        <v>84</v>
      </c>
      <c r="R24" s="9" t="s">
        <v>139</v>
      </c>
      <c r="S24" s="9" t="s">
        <v>133</v>
      </c>
      <c r="T24" s="9" t="s">
        <v>60</v>
      </c>
      <c r="U24" s="9" t="s">
        <v>133</v>
      </c>
      <c r="V24" s="43">
        <f t="shared" si="5"/>
        <v>900</v>
      </c>
      <c r="W24" s="144">
        <v>230</v>
      </c>
      <c r="X24" s="137">
        <f>W24/V24</f>
        <v>0.25555555555555554</v>
      </c>
      <c r="Y24" s="133" t="s">
        <v>140</v>
      </c>
      <c r="Z24" s="133" t="s">
        <v>135</v>
      </c>
      <c r="AA24" s="43">
        <f t="shared" si="6"/>
        <v>900</v>
      </c>
      <c r="AB24" s="147">
        <v>1192</v>
      </c>
      <c r="AC24" s="119">
        <f t="shared" si="7"/>
        <v>1</v>
      </c>
      <c r="AD24" s="139" t="s">
        <v>254</v>
      </c>
      <c r="AE24" s="139" t="s">
        <v>252</v>
      </c>
      <c r="AF24" s="11">
        <f t="shared" si="2"/>
        <v>900</v>
      </c>
      <c r="AG24" s="146"/>
      <c r="AH24" s="122">
        <f t="shared" si="8"/>
        <v>0</v>
      </c>
      <c r="AI24" s="9"/>
      <c r="AJ24" s="9"/>
      <c r="AK24" s="35">
        <f t="shared" si="3"/>
        <v>900</v>
      </c>
      <c r="AL24" s="146"/>
      <c r="AM24" s="122">
        <f t="shared" si="9"/>
        <v>0</v>
      </c>
      <c r="AN24" s="9"/>
      <c r="AO24" s="9"/>
      <c r="AP24" s="43">
        <f t="shared" si="4"/>
        <v>3600</v>
      </c>
      <c r="AQ24" s="51">
        <f>230+1192</f>
        <v>1422</v>
      </c>
      <c r="AR24" s="119">
        <f t="shared" si="1"/>
        <v>0.39500000000000002</v>
      </c>
      <c r="AS24" s="139" t="s">
        <v>255</v>
      </c>
    </row>
    <row r="25" spans="1:45" s="36" customFormat="1" ht="121.5" customHeight="1" x14ac:dyDescent="0.25">
      <c r="A25" s="9">
        <v>4</v>
      </c>
      <c r="B25" s="9" t="s">
        <v>49</v>
      </c>
      <c r="C25" s="9" t="s">
        <v>126</v>
      </c>
      <c r="D25" s="9" t="s">
        <v>141</v>
      </c>
      <c r="E25" s="10">
        <f t="shared" si="0"/>
        <v>4.4444444444444481E-2</v>
      </c>
      <c r="F25" s="9" t="s">
        <v>52</v>
      </c>
      <c r="G25" s="9" t="s">
        <v>142</v>
      </c>
      <c r="H25" s="9" t="s">
        <v>143</v>
      </c>
      <c r="I25" s="9"/>
      <c r="J25" s="9" t="s">
        <v>130</v>
      </c>
      <c r="K25" s="9" t="s">
        <v>144</v>
      </c>
      <c r="L25" s="13">
        <v>11</v>
      </c>
      <c r="M25" s="13">
        <v>21</v>
      </c>
      <c r="N25" s="13">
        <v>21</v>
      </c>
      <c r="O25" s="13">
        <v>13</v>
      </c>
      <c r="P25" s="12">
        <f t="shared" ref="P25:P30" si="10">SUM(L25:O25)</f>
        <v>66</v>
      </c>
      <c r="Q25" s="9" t="s">
        <v>84</v>
      </c>
      <c r="R25" s="9" t="s">
        <v>145</v>
      </c>
      <c r="S25" s="9" t="s">
        <v>146</v>
      </c>
      <c r="T25" s="9" t="s">
        <v>60</v>
      </c>
      <c r="U25" s="9" t="s">
        <v>146</v>
      </c>
      <c r="V25" s="43">
        <f t="shared" si="5"/>
        <v>11</v>
      </c>
      <c r="W25" s="144">
        <v>0</v>
      </c>
      <c r="X25" s="131">
        <v>0</v>
      </c>
      <c r="Y25" s="133" t="s">
        <v>147</v>
      </c>
      <c r="Z25" s="133" t="s">
        <v>148</v>
      </c>
      <c r="AA25" s="35">
        <f t="shared" si="6"/>
        <v>21</v>
      </c>
      <c r="AB25" s="148">
        <v>0</v>
      </c>
      <c r="AC25" s="119">
        <f t="shared" si="7"/>
        <v>0</v>
      </c>
      <c r="AD25" s="139" t="s">
        <v>149</v>
      </c>
      <c r="AE25" s="139" t="s">
        <v>150</v>
      </c>
      <c r="AF25" s="11">
        <f t="shared" si="2"/>
        <v>21</v>
      </c>
      <c r="AG25" s="146"/>
      <c r="AH25" s="122">
        <f t="shared" si="8"/>
        <v>0</v>
      </c>
      <c r="AI25" s="9"/>
      <c r="AJ25" s="9"/>
      <c r="AK25" s="35">
        <f t="shared" si="3"/>
        <v>13</v>
      </c>
      <c r="AL25" s="146"/>
      <c r="AM25" s="122">
        <f t="shared" si="9"/>
        <v>0</v>
      </c>
      <c r="AN25" s="9"/>
      <c r="AO25" s="9"/>
      <c r="AP25" s="43">
        <f t="shared" si="4"/>
        <v>66</v>
      </c>
      <c r="AQ25" s="51">
        <v>0</v>
      </c>
      <c r="AR25" s="119">
        <f t="shared" si="1"/>
        <v>0</v>
      </c>
      <c r="AS25" s="63" t="s">
        <v>256</v>
      </c>
    </row>
    <row r="26" spans="1:45" s="36" customFormat="1" ht="195" x14ac:dyDescent="0.25">
      <c r="A26" s="9">
        <v>4</v>
      </c>
      <c r="B26" s="9" t="s">
        <v>49</v>
      </c>
      <c r="C26" s="9" t="s">
        <v>126</v>
      </c>
      <c r="D26" s="9" t="s">
        <v>151</v>
      </c>
      <c r="E26" s="10">
        <f t="shared" si="0"/>
        <v>4.4444444444444481E-2</v>
      </c>
      <c r="F26" s="9" t="s">
        <v>72</v>
      </c>
      <c r="G26" s="9" t="s">
        <v>152</v>
      </c>
      <c r="H26" s="9" t="s">
        <v>153</v>
      </c>
      <c r="I26" s="9"/>
      <c r="J26" s="9" t="s">
        <v>130</v>
      </c>
      <c r="K26" s="9" t="s">
        <v>145</v>
      </c>
      <c r="L26" s="13">
        <v>50</v>
      </c>
      <c r="M26" s="13">
        <v>100</v>
      </c>
      <c r="N26" s="13">
        <v>100</v>
      </c>
      <c r="O26" s="13">
        <v>97</v>
      </c>
      <c r="P26" s="12">
        <f t="shared" si="10"/>
        <v>347</v>
      </c>
      <c r="Q26" s="9" t="s">
        <v>84</v>
      </c>
      <c r="R26" s="9" t="s">
        <v>145</v>
      </c>
      <c r="S26" s="9" t="s">
        <v>146</v>
      </c>
      <c r="T26" s="9" t="s">
        <v>60</v>
      </c>
      <c r="U26" s="9" t="s">
        <v>146</v>
      </c>
      <c r="V26" s="43">
        <f t="shared" si="5"/>
        <v>50</v>
      </c>
      <c r="W26" s="144">
        <v>0</v>
      </c>
      <c r="X26" s="131">
        <v>0</v>
      </c>
      <c r="Y26" s="133" t="s">
        <v>147</v>
      </c>
      <c r="Z26" s="133" t="s">
        <v>148</v>
      </c>
      <c r="AA26" s="35">
        <f t="shared" si="6"/>
        <v>100</v>
      </c>
      <c r="AB26" s="148">
        <v>57</v>
      </c>
      <c r="AC26" s="119">
        <f t="shared" si="7"/>
        <v>0.56999999999999995</v>
      </c>
      <c r="AD26" s="139" t="s">
        <v>257</v>
      </c>
      <c r="AE26" s="139" t="s">
        <v>150</v>
      </c>
      <c r="AF26" s="11">
        <f t="shared" si="2"/>
        <v>100</v>
      </c>
      <c r="AG26" s="146"/>
      <c r="AH26" s="122">
        <f t="shared" si="8"/>
        <v>0</v>
      </c>
      <c r="AI26" s="9"/>
      <c r="AJ26" s="9"/>
      <c r="AK26" s="35">
        <f t="shared" si="3"/>
        <v>97</v>
      </c>
      <c r="AL26" s="146"/>
      <c r="AM26" s="122">
        <f t="shared" si="9"/>
        <v>0</v>
      </c>
      <c r="AN26" s="9"/>
      <c r="AO26" s="9"/>
      <c r="AP26" s="43">
        <f t="shared" si="4"/>
        <v>347</v>
      </c>
      <c r="AQ26" s="51">
        <v>57</v>
      </c>
      <c r="AR26" s="119">
        <f t="shared" si="1"/>
        <v>0.16426512968299711</v>
      </c>
      <c r="AS26" s="63" t="s">
        <v>258</v>
      </c>
    </row>
    <row r="27" spans="1:45" s="34" customFormat="1" ht="78.75" customHeight="1" x14ac:dyDescent="0.25">
      <c r="A27" s="86">
        <v>4</v>
      </c>
      <c r="B27" s="86" t="s">
        <v>49</v>
      </c>
      <c r="C27" s="86" t="s">
        <v>126</v>
      </c>
      <c r="D27" s="9" t="s">
        <v>154</v>
      </c>
      <c r="E27" s="4">
        <f t="shared" si="0"/>
        <v>4.4444444444444481E-2</v>
      </c>
      <c r="F27" s="86" t="s">
        <v>72</v>
      </c>
      <c r="G27" s="86" t="s">
        <v>155</v>
      </c>
      <c r="H27" s="86" t="s">
        <v>156</v>
      </c>
      <c r="I27" s="86"/>
      <c r="J27" s="86" t="s">
        <v>130</v>
      </c>
      <c r="K27" s="86" t="s">
        <v>157</v>
      </c>
      <c r="L27" s="14">
        <v>25</v>
      </c>
      <c r="M27" s="14">
        <v>25</v>
      </c>
      <c r="N27" s="14">
        <v>25</v>
      </c>
      <c r="O27" s="14">
        <v>25</v>
      </c>
      <c r="P27" s="15">
        <f t="shared" si="10"/>
        <v>100</v>
      </c>
      <c r="Q27" s="86" t="s">
        <v>84</v>
      </c>
      <c r="R27" s="86" t="s">
        <v>158</v>
      </c>
      <c r="S27" s="86" t="s">
        <v>159</v>
      </c>
      <c r="T27" s="86" t="s">
        <v>60</v>
      </c>
      <c r="U27" s="86" t="s">
        <v>158</v>
      </c>
      <c r="V27" s="44">
        <f t="shared" si="5"/>
        <v>25</v>
      </c>
      <c r="W27" s="144">
        <v>11</v>
      </c>
      <c r="X27" s="131">
        <v>0.44</v>
      </c>
      <c r="Y27" s="133" t="s">
        <v>160</v>
      </c>
      <c r="Z27" s="133" t="s">
        <v>161</v>
      </c>
      <c r="AA27" s="44">
        <f t="shared" si="6"/>
        <v>25</v>
      </c>
      <c r="AB27" s="149">
        <v>51</v>
      </c>
      <c r="AC27" s="119">
        <f t="shared" si="7"/>
        <v>1</v>
      </c>
      <c r="AD27" s="139" t="s">
        <v>162</v>
      </c>
      <c r="AE27" s="139" t="s">
        <v>163</v>
      </c>
      <c r="AF27" s="37">
        <f t="shared" si="2"/>
        <v>25</v>
      </c>
      <c r="AG27" s="146"/>
      <c r="AH27" s="122">
        <f t="shared" si="8"/>
        <v>0</v>
      </c>
      <c r="AI27" s="86"/>
      <c r="AJ27" s="86"/>
      <c r="AK27" s="38">
        <f t="shared" si="3"/>
        <v>25</v>
      </c>
      <c r="AL27" s="146"/>
      <c r="AM27" s="122">
        <f t="shared" si="9"/>
        <v>0</v>
      </c>
      <c r="AN27" s="86"/>
      <c r="AO27" s="86"/>
      <c r="AP27" s="44">
        <f t="shared" si="4"/>
        <v>100</v>
      </c>
      <c r="AQ27" s="144">
        <f>11+51</f>
        <v>62</v>
      </c>
      <c r="AR27" s="119">
        <f t="shared" si="1"/>
        <v>0.62</v>
      </c>
      <c r="AS27" s="139" t="s">
        <v>260</v>
      </c>
    </row>
    <row r="28" spans="1:45" s="34" customFormat="1" ht="96" customHeight="1" x14ac:dyDescent="0.25">
      <c r="A28" s="86">
        <v>4</v>
      </c>
      <c r="B28" s="86" t="s">
        <v>49</v>
      </c>
      <c r="C28" s="86" t="s">
        <v>126</v>
      </c>
      <c r="D28" s="9" t="s">
        <v>164</v>
      </c>
      <c r="E28" s="4">
        <f t="shared" si="0"/>
        <v>4.4444444444444481E-2</v>
      </c>
      <c r="F28" s="86" t="s">
        <v>72</v>
      </c>
      <c r="G28" s="86" t="s">
        <v>165</v>
      </c>
      <c r="H28" s="86" t="s">
        <v>166</v>
      </c>
      <c r="I28" s="86"/>
      <c r="J28" s="86" t="s">
        <v>130</v>
      </c>
      <c r="K28" s="86" t="s">
        <v>157</v>
      </c>
      <c r="L28" s="14">
        <v>22</v>
      </c>
      <c r="M28" s="14">
        <v>22</v>
      </c>
      <c r="N28" s="14">
        <v>23</v>
      </c>
      <c r="O28" s="14">
        <v>23</v>
      </c>
      <c r="P28" s="15">
        <f t="shared" si="10"/>
        <v>90</v>
      </c>
      <c r="Q28" s="86" t="s">
        <v>84</v>
      </c>
      <c r="R28" s="86" t="s">
        <v>158</v>
      </c>
      <c r="S28" s="86" t="s">
        <v>159</v>
      </c>
      <c r="T28" s="86" t="s">
        <v>60</v>
      </c>
      <c r="U28" s="86" t="s">
        <v>158</v>
      </c>
      <c r="V28" s="44">
        <f t="shared" si="5"/>
        <v>22</v>
      </c>
      <c r="W28" s="144">
        <v>17</v>
      </c>
      <c r="X28" s="131">
        <v>0.77</v>
      </c>
      <c r="Y28" s="133" t="s">
        <v>167</v>
      </c>
      <c r="Z28" s="133" t="s">
        <v>161</v>
      </c>
      <c r="AA28" s="38">
        <f t="shared" si="6"/>
        <v>22</v>
      </c>
      <c r="AB28" s="145">
        <v>60</v>
      </c>
      <c r="AC28" s="119">
        <f t="shared" si="7"/>
        <v>1</v>
      </c>
      <c r="AD28" s="139" t="s">
        <v>168</v>
      </c>
      <c r="AE28" s="139" t="s">
        <v>163</v>
      </c>
      <c r="AF28" s="37">
        <f t="shared" si="2"/>
        <v>23</v>
      </c>
      <c r="AG28" s="146"/>
      <c r="AH28" s="122">
        <f t="shared" si="8"/>
        <v>0</v>
      </c>
      <c r="AI28" s="86"/>
      <c r="AJ28" s="86"/>
      <c r="AK28" s="38">
        <f t="shared" si="3"/>
        <v>23</v>
      </c>
      <c r="AL28" s="146"/>
      <c r="AM28" s="122">
        <f t="shared" si="9"/>
        <v>0</v>
      </c>
      <c r="AN28" s="86"/>
      <c r="AO28" s="86"/>
      <c r="AP28" s="44">
        <f t="shared" si="4"/>
        <v>90</v>
      </c>
      <c r="AQ28" s="144">
        <f>17+60</f>
        <v>77</v>
      </c>
      <c r="AR28" s="119">
        <f t="shared" si="1"/>
        <v>0.85555555555555551</v>
      </c>
      <c r="AS28" s="139" t="s">
        <v>261</v>
      </c>
    </row>
    <row r="29" spans="1:45" s="34" customFormat="1" ht="60" x14ac:dyDescent="0.25">
      <c r="A29" s="86">
        <v>4</v>
      </c>
      <c r="B29" s="86" t="s">
        <v>49</v>
      </c>
      <c r="C29" s="86" t="s">
        <v>126</v>
      </c>
      <c r="D29" s="86" t="s">
        <v>169</v>
      </c>
      <c r="E29" s="4">
        <f t="shared" si="0"/>
        <v>4.4444444444444481E-2</v>
      </c>
      <c r="F29" s="86" t="s">
        <v>72</v>
      </c>
      <c r="G29" s="86" t="s">
        <v>170</v>
      </c>
      <c r="H29" s="86" t="s">
        <v>171</v>
      </c>
      <c r="I29" s="86"/>
      <c r="J29" s="86" t="s">
        <v>130</v>
      </c>
      <c r="K29" s="86" t="s">
        <v>157</v>
      </c>
      <c r="L29" s="14">
        <v>8</v>
      </c>
      <c r="M29" s="14">
        <v>9</v>
      </c>
      <c r="N29" s="14">
        <v>9</v>
      </c>
      <c r="O29" s="14">
        <v>8</v>
      </c>
      <c r="P29" s="15">
        <f t="shared" si="10"/>
        <v>34</v>
      </c>
      <c r="Q29" s="86" t="s">
        <v>84</v>
      </c>
      <c r="R29" s="86" t="s">
        <v>158</v>
      </c>
      <c r="S29" s="86" t="s">
        <v>159</v>
      </c>
      <c r="T29" s="86" t="s">
        <v>60</v>
      </c>
      <c r="U29" s="86" t="s">
        <v>158</v>
      </c>
      <c r="V29" s="44">
        <f t="shared" si="5"/>
        <v>8</v>
      </c>
      <c r="W29" s="144">
        <v>24</v>
      </c>
      <c r="X29" s="131">
        <v>1</v>
      </c>
      <c r="Y29" s="133" t="s">
        <v>172</v>
      </c>
      <c r="Z29" s="133" t="s">
        <v>173</v>
      </c>
      <c r="AA29" s="37">
        <f t="shared" si="6"/>
        <v>9</v>
      </c>
      <c r="AB29" s="145">
        <v>21</v>
      </c>
      <c r="AC29" s="119">
        <f t="shared" si="7"/>
        <v>1</v>
      </c>
      <c r="AD29" s="139" t="s">
        <v>174</v>
      </c>
      <c r="AE29" s="139" t="s">
        <v>163</v>
      </c>
      <c r="AF29" s="37">
        <f t="shared" si="2"/>
        <v>9</v>
      </c>
      <c r="AG29" s="146"/>
      <c r="AH29" s="122">
        <f t="shared" si="8"/>
        <v>0</v>
      </c>
      <c r="AI29" s="86"/>
      <c r="AJ29" s="86"/>
      <c r="AK29" s="38">
        <f t="shared" si="3"/>
        <v>8</v>
      </c>
      <c r="AL29" s="146"/>
      <c r="AM29" s="122">
        <f t="shared" si="9"/>
        <v>0</v>
      </c>
      <c r="AN29" s="86"/>
      <c r="AO29" s="86"/>
      <c r="AP29" s="44">
        <f t="shared" si="4"/>
        <v>34</v>
      </c>
      <c r="AQ29" s="144">
        <f>24+21</f>
        <v>45</v>
      </c>
      <c r="AR29" s="119">
        <f t="shared" si="1"/>
        <v>1</v>
      </c>
      <c r="AS29" s="139" t="s">
        <v>262</v>
      </c>
    </row>
    <row r="30" spans="1:45" s="34" customFormat="1" ht="75" x14ac:dyDescent="0.25">
      <c r="A30" s="86">
        <v>4</v>
      </c>
      <c r="B30" s="86" t="s">
        <v>49</v>
      </c>
      <c r="C30" s="86" t="s">
        <v>126</v>
      </c>
      <c r="D30" s="86" t="s">
        <v>175</v>
      </c>
      <c r="E30" s="4">
        <f t="shared" si="0"/>
        <v>4.4444444444444481E-2</v>
      </c>
      <c r="F30" s="86" t="s">
        <v>72</v>
      </c>
      <c r="G30" s="86" t="s">
        <v>176</v>
      </c>
      <c r="H30" s="86" t="s">
        <v>177</v>
      </c>
      <c r="I30" s="86"/>
      <c r="J30" s="86" t="s">
        <v>130</v>
      </c>
      <c r="K30" s="86" t="s">
        <v>157</v>
      </c>
      <c r="L30" s="14">
        <v>9</v>
      </c>
      <c r="M30" s="14">
        <v>12</v>
      </c>
      <c r="N30" s="14">
        <v>12</v>
      </c>
      <c r="O30" s="14">
        <v>11</v>
      </c>
      <c r="P30" s="15">
        <f t="shared" si="10"/>
        <v>44</v>
      </c>
      <c r="Q30" s="86" t="s">
        <v>84</v>
      </c>
      <c r="R30" s="86" t="s">
        <v>158</v>
      </c>
      <c r="S30" s="86" t="s">
        <v>159</v>
      </c>
      <c r="T30" s="86" t="s">
        <v>60</v>
      </c>
      <c r="U30" s="86" t="s">
        <v>158</v>
      </c>
      <c r="V30" s="44">
        <f t="shared" si="5"/>
        <v>9</v>
      </c>
      <c r="W30" s="144">
        <v>4</v>
      </c>
      <c r="X30" s="131">
        <v>0.44</v>
      </c>
      <c r="Y30" s="133" t="s">
        <v>178</v>
      </c>
      <c r="Z30" s="133" t="s">
        <v>161</v>
      </c>
      <c r="AA30" s="37">
        <f t="shared" si="6"/>
        <v>12</v>
      </c>
      <c r="AB30" s="145">
        <v>27</v>
      </c>
      <c r="AC30" s="119">
        <f t="shared" si="7"/>
        <v>1</v>
      </c>
      <c r="AD30" s="139" t="s">
        <v>259</v>
      </c>
      <c r="AE30" s="139" t="s">
        <v>163</v>
      </c>
      <c r="AF30" s="37">
        <f t="shared" si="2"/>
        <v>12</v>
      </c>
      <c r="AG30" s="146"/>
      <c r="AH30" s="122">
        <f>IF(AG30/AF30&gt;100%,100%,AG30/AF30)</f>
        <v>0</v>
      </c>
      <c r="AI30" s="86"/>
      <c r="AJ30" s="86"/>
      <c r="AK30" s="38">
        <f t="shared" si="3"/>
        <v>11</v>
      </c>
      <c r="AL30" s="146"/>
      <c r="AM30" s="122">
        <f>IF(AL30/AK30&gt;100%,100%,AL30/AK30)</f>
        <v>0</v>
      </c>
      <c r="AN30" s="86"/>
      <c r="AO30" s="86"/>
      <c r="AP30" s="44">
        <f t="shared" si="4"/>
        <v>44</v>
      </c>
      <c r="AQ30" s="144">
        <f>4+27</f>
        <v>31</v>
      </c>
      <c r="AR30" s="119">
        <f t="shared" si="1"/>
        <v>0.70454545454545459</v>
      </c>
      <c r="AS30" s="139" t="s">
        <v>263</v>
      </c>
    </row>
    <row r="31" spans="1:45" s="39" customFormat="1" ht="15.75" x14ac:dyDescent="0.25">
      <c r="A31" s="16"/>
      <c r="B31" s="16"/>
      <c r="C31" s="16"/>
      <c r="D31" s="17" t="s">
        <v>179</v>
      </c>
      <c r="E31" s="18">
        <f>SUM(E13:E30)</f>
        <v>0.80000000000000093</v>
      </c>
      <c r="F31" s="16"/>
      <c r="G31" s="16"/>
      <c r="H31" s="16"/>
      <c r="I31" s="16"/>
      <c r="J31" s="16"/>
      <c r="K31" s="16"/>
      <c r="L31" s="18"/>
      <c r="M31" s="18"/>
      <c r="N31" s="18"/>
      <c r="O31" s="18"/>
      <c r="P31" s="18"/>
      <c r="Q31" s="16"/>
      <c r="R31" s="16"/>
      <c r="S31" s="16"/>
      <c r="T31" s="16"/>
      <c r="U31" s="16"/>
      <c r="V31" s="45"/>
      <c r="W31" s="45"/>
      <c r="X31" s="45">
        <f>AVERAGE(X13:X30)*80%</f>
        <v>0.54092777777777779</v>
      </c>
      <c r="Y31" s="60"/>
      <c r="Z31" s="60"/>
      <c r="AA31" s="68"/>
      <c r="AB31" s="69"/>
      <c r="AC31" s="100">
        <f>AVERAGE(AC13:AC30)*80%</f>
        <v>0.69909226006191949</v>
      </c>
      <c r="AD31" s="72"/>
      <c r="AE31" s="72"/>
      <c r="AF31" s="69"/>
      <c r="AG31" s="69"/>
      <c r="AH31" s="68" t="e">
        <f>AVERAGE(AH13:AH30)*80%</f>
        <v>#DIV/0!</v>
      </c>
      <c r="AI31" s="70"/>
      <c r="AJ31" s="70"/>
      <c r="AK31" s="71"/>
      <c r="AL31" s="69"/>
      <c r="AM31" s="68">
        <f>AVERAGE(AM13:AM30)*80%</f>
        <v>0</v>
      </c>
      <c r="AN31" s="70"/>
      <c r="AO31" s="70"/>
      <c r="AP31" s="68"/>
      <c r="AQ31" s="68"/>
      <c r="AR31" s="100">
        <f>AVERAGE(AR13:AR30)*80%</f>
        <v>0.41739147755765177</v>
      </c>
      <c r="AS31" s="72"/>
    </row>
    <row r="32" spans="1:45" ht="122.25" customHeight="1" x14ac:dyDescent="0.25">
      <c r="A32" s="19">
        <v>7</v>
      </c>
      <c r="B32" s="19" t="s">
        <v>180</v>
      </c>
      <c r="C32" s="19" t="s">
        <v>181</v>
      </c>
      <c r="D32" s="19" t="s">
        <v>182</v>
      </c>
      <c r="E32" s="20">
        <v>0.04</v>
      </c>
      <c r="F32" s="19" t="s">
        <v>183</v>
      </c>
      <c r="G32" s="19" t="s">
        <v>184</v>
      </c>
      <c r="H32" s="19" t="s">
        <v>185</v>
      </c>
      <c r="I32" s="19"/>
      <c r="J32" s="21" t="s">
        <v>186</v>
      </c>
      <c r="K32" s="21" t="s">
        <v>187</v>
      </c>
      <c r="L32" s="22">
        <v>0</v>
      </c>
      <c r="M32" s="22">
        <v>0.8</v>
      </c>
      <c r="N32" s="22">
        <v>0</v>
      </c>
      <c r="O32" s="22">
        <v>0.8</v>
      </c>
      <c r="P32" s="22">
        <v>0.8</v>
      </c>
      <c r="Q32" s="19" t="s">
        <v>84</v>
      </c>
      <c r="R32" s="19" t="s">
        <v>188</v>
      </c>
      <c r="S32" s="19" t="s">
        <v>189</v>
      </c>
      <c r="T32" s="19" t="s">
        <v>190</v>
      </c>
      <c r="U32" s="19" t="s">
        <v>191</v>
      </c>
      <c r="V32" s="46" t="s">
        <v>62</v>
      </c>
      <c r="W32" s="47" t="s">
        <v>62</v>
      </c>
      <c r="X32" s="47" t="s">
        <v>62</v>
      </c>
      <c r="Y32" s="61" t="s">
        <v>63</v>
      </c>
      <c r="Z32" s="61" t="s">
        <v>62</v>
      </c>
      <c r="AA32" s="46">
        <f t="shared" si="6"/>
        <v>0.8</v>
      </c>
      <c r="AB32" s="46">
        <v>0.57999999999999996</v>
      </c>
      <c r="AC32" s="82">
        <f t="shared" si="7"/>
        <v>0.72499999999999987</v>
      </c>
      <c r="AD32" s="80" t="s">
        <v>264</v>
      </c>
      <c r="AE32" s="80" t="s">
        <v>265</v>
      </c>
      <c r="AF32" s="20">
        <f t="shared" si="2"/>
        <v>0</v>
      </c>
      <c r="AG32" s="19"/>
      <c r="AH32" s="19"/>
      <c r="AI32" s="19"/>
      <c r="AJ32" s="19"/>
      <c r="AK32" s="20">
        <f t="shared" si="3"/>
        <v>0.8</v>
      </c>
      <c r="AL32" s="19"/>
      <c r="AM32" s="19"/>
      <c r="AN32" s="19"/>
      <c r="AO32" s="19"/>
      <c r="AP32" s="52">
        <f t="shared" si="4"/>
        <v>0.8</v>
      </c>
      <c r="AQ32" s="52">
        <f>(58%*50%)</f>
        <v>0.28999999999999998</v>
      </c>
      <c r="AR32" s="55">
        <f t="shared" si="1"/>
        <v>0.36249999999999993</v>
      </c>
      <c r="AS32" s="80" t="s">
        <v>270</v>
      </c>
    </row>
    <row r="33" spans="1:45" ht="104.25" customHeight="1" x14ac:dyDescent="0.25">
      <c r="A33" s="19">
        <v>7</v>
      </c>
      <c r="B33" s="19" t="s">
        <v>180</v>
      </c>
      <c r="C33" s="19" t="s">
        <v>181</v>
      </c>
      <c r="D33" s="19" t="s">
        <v>192</v>
      </c>
      <c r="E33" s="20">
        <v>0.04</v>
      </c>
      <c r="F33" s="19" t="s">
        <v>183</v>
      </c>
      <c r="G33" s="19" t="s">
        <v>193</v>
      </c>
      <c r="H33" s="19" t="s">
        <v>194</v>
      </c>
      <c r="I33" s="19"/>
      <c r="J33" s="21" t="s">
        <v>186</v>
      </c>
      <c r="K33" s="21" t="s">
        <v>195</v>
      </c>
      <c r="L33" s="23">
        <v>1</v>
      </c>
      <c r="M33" s="24">
        <v>1</v>
      </c>
      <c r="N33" s="24">
        <v>1</v>
      </c>
      <c r="O33" s="24">
        <v>1</v>
      </c>
      <c r="P33" s="24">
        <v>1</v>
      </c>
      <c r="Q33" s="19" t="s">
        <v>84</v>
      </c>
      <c r="R33" s="19" t="s">
        <v>196</v>
      </c>
      <c r="S33" s="19" t="s">
        <v>197</v>
      </c>
      <c r="T33" s="19" t="s">
        <v>198</v>
      </c>
      <c r="U33" s="19" t="s">
        <v>199</v>
      </c>
      <c r="V33" s="46">
        <f>L33</f>
        <v>1</v>
      </c>
      <c r="W33" s="52">
        <v>1</v>
      </c>
      <c r="X33" s="52">
        <v>1</v>
      </c>
      <c r="Y33" s="61" t="s">
        <v>200</v>
      </c>
      <c r="Z33" s="61"/>
      <c r="AA33" s="46">
        <f t="shared" si="6"/>
        <v>1</v>
      </c>
      <c r="AB33" s="46">
        <v>0.83</v>
      </c>
      <c r="AC33" s="82">
        <f t="shared" si="7"/>
        <v>0.83</v>
      </c>
      <c r="AD33" s="80" t="s">
        <v>266</v>
      </c>
      <c r="AE33" s="80" t="s">
        <v>267</v>
      </c>
      <c r="AF33" s="20">
        <f t="shared" si="2"/>
        <v>1</v>
      </c>
      <c r="AG33" s="19"/>
      <c r="AH33" s="19"/>
      <c r="AI33" s="19"/>
      <c r="AJ33" s="19"/>
      <c r="AK33" s="20">
        <f t="shared" si="3"/>
        <v>1</v>
      </c>
      <c r="AL33" s="19"/>
      <c r="AM33" s="19"/>
      <c r="AN33" s="19"/>
      <c r="AO33" s="19"/>
      <c r="AP33" s="52">
        <f t="shared" si="4"/>
        <v>1</v>
      </c>
      <c r="AQ33" s="46">
        <f>(100%*25%)+(83%*25%)</f>
        <v>0.45750000000000002</v>
      </c>
      <c r="AR33" s="55">
        <f t="shared" si="1"/>
        <v>0.45750000000000002</v>
      </c>
      <c r="AS33" s="80" t="s">
        <v>271</v>
      </c>
    </row>
    <row r="34" spans="1:45" ht="126.75" customHeight="1" x14ac:dyDescent="0.25">
      <c r="A34" s="19">
        <v>7</v>
      </c>
      <c r="B34" s="19" t="s">
        <v>180</v>
      </c>
      <c r="C34" s="19" t="s">
        <v>201</v>
      </c>
      <c r="D34" s="19" t="s">
        <v>202</v>
      </c>
      <c r="E34" s="20">
        <v>0.04</v>
      </c>
      <c r="F34" s="19" t="s">
        <v>183</v>
      </c>
      <c r="G34" s="19" t="s">
        <v>203</v>
      </c>
      <c r="H34" s="19" t="s">
        <v>204</v>
      </c>
      <c r="I34" s="19"/>
      <c r="J34" s="21" t="s">
        <v>186</v>
      </c>
      <c r="K34" s="21" t="s">
        <v>205</v>
      </c>
      <c r="L34" s="23">
        <v>0</v>
      </c>
      <c r="M34" s="24">
        <v>1</v>
      </c>
      <c r="N34" s="24">
        <v>1</v>
      </c>
      <c r="O34" s="24">
        <v>1</v>
      </c>
      <c r="P34" s="24">
        <v>1</v>
      </c>
      <c r="Q34" s="19" t="s">
        <v>84</v>
      </c>
      <c r="R34" s="19" t="s">
        <v>206</v>
      </c>
      <c r="S34" s="19" t="s">
        <v>207</v>
      </c>
      <c r="T34" s="19" t="s">
        <v>208</v>
      </c>
      <c r="U34" s="19" t="s">
        <v>209</v>
      </c>
      <c r="V34" s="46" t="s">
        <v>62</v>
      </c>
      <c r="W34" s="47" t="s">
        <v>62</v>
      </c>
      <c r="X34" s="47" t="s">
        <v>62</v>
      </c>
      <c r="Y34" s="61" t="s">
        <v>63</v>
      </c>
      <c r="Z34" s="61" t="s">
        <v>62</v>
      </c>
      <c r="AA34" s="46">
        <f t="shared" si="6"/>
        <v>1</v>
      </c>
      <c r="AB34" s="82">
        <v>0.96519999999999995</v>
      </c>
      <c r="AC34" s="82">
        <f t="shared" si="7"/>
        <v>0.96519999999999995</v>
      </c>
      <c r="AD34" s="80" t="s">
        <v>279</v>
      </c>
      <c r="AE34" s="80" t="s">
        <v>268</v>
      </c>
      <c r="AF34" s="20">
        <f t="shared" si="2"/>
        <v>1</v>
      </c>
      <c r="AG34" s="19"/>
      <c r="AH34" s="19"/>
      <c r="AI34" s="19"/>
      <c r="AJ34" s="19"/>
      <c r="AK34" s="20">
        <f t="shared" si="3"/>
        <v>1</v>
      </c>
      <c r="AL34" s="19"/>
      <c r="AM34" s="19"/>
      <c r="AN34" s="19"/>
      <c r="AO34" s="19"/>
      <c r="AP34" s="52">
        <f t="shared" si="4"/>
        <v>1</v>
      </c>
      <c r="AQ34" s="83">
        <f>(96.52%*33.3%)</f>
        <v>0.32141159999999996</v>
      </c>
      <c r="AR34" s="55">
        <f t="shared" si="1"/>
        <v>0.32141159999999996</v>
      </c>
      <c r="AS34" s="80" t="s">
        <v>269</v>
      </c>
    </row>
    <row r="35" spans="1:45" ht="105" x14ac:dyDescent="0.25">
      <c r="A35" s="19">
        <v>7</v>
      </c>
      <c r="B35" s="19" t="s">
        <v>180</v>
      </c>
      <c r="C35" s="19" t="s">
        <v>181</v>
      </c>
      <c r="D35" s="19" t="s">
        <v>210</v>
      </c>
      <c r="E35" s="20">
        <v>0.04</v>
      </c>
      <c r="F35" s="19" t="s">
        <v>183</v>
      </c>
      <c r="G35" s="19" t="s">
        <v>211</v>
      </c>
      <c r="H35" s="19" t="s">
        <v>212</v>
      </c>
      <c r="I35" s="19"/>
      <c r="J35" s="21" t="s">
        <v>186</v>
      </c>
      <c r="K35" s="21" t="s">
        <v>213</v>
      </c>
      <c r="L35" s="23">
        <v>0</v>
      </c>
      <c r="M35" s="24">
        <v>1</v>
      </c>
      <c r="N35" s="24">
        <v>1</v>
      </c>
      <c r="O35" s="24">
        <v>0</v>
      </c>
      <c r="P35" s="24">
        <v>1</v>
      </c>
      <c r="Q35" s="19" t="s">
        <v>84</v>
      </c>
      <c r="R35" s="19" t="s">
        <v>214</v>
      </c>
      <c r="S35" s="19" t="s">
        <v>215</v>
      </c>
      <c r="T35" s="19" t="s">
        <v>198</v>
      </c>
      <c r="U35" s="19" t="s">
        <v>215</v>
      </c>
      <c r="V35" s="46" t="s">
        <v>62</v>
      </c>
      <c r="W35" s="47" t="s">
        <v>62</v>
      </c>
      <c r="X35" s="47" t="s">
        <v>62</v>
      </c>
      <c r="Y35" s="61" t="s">
        <v>63</v>
      </c>
      <c r="Z35" s="61" t="s">
        <v>62</v>
      </c>
      <c r="AA35" s="46">
        <f t="shared" si="6"/>
        <v>1</v>
      </c>
      <c r="AB35" s="46">
        <f t="shared" si="6"/>
        <v>1</v>
      </c>
      <c r="AC35" s="82">
        <f t="shared" si="7"/>
        <v>1</v>
      </c>
      <c r="AD35" s="80" t="s">
        <v>272</v>
      </c>
      <c r="AE35" s="80" t="s">
        <v>273</v>
      </c>
      <c r="AF35" s="20">
        <f t="shared" si="2"/>
        <v>1</v>
      </c>
      <c r="AG35" s="19"/>
      <c r="AH35" s="19"/>
      <c r="AI35" s="19"/>
      <c r="AJ35" s="19"/>
      <c r="AK35" s="20">
        <f t="shared" si="3"/>
        <v>0</v>
      </c>
      <c r="AL35" s="19"/>
      <c r="AM35" s="19"/>
      <c r="AN35" s="19"/>
      <c r="AO35" s="19"/>
      <c r="AP35" s="52">
        <f t="shared" si="4"/>
        <v>1</v>
      </c>
      <c r="AQ35" s="52">
        <f>(100%*50%)</f>
        <v>0.5</v>
      </c>
      <c r="AR35" s="55">
        <f t="shared" si="1"/>
        <v>0.5</v>
      </c>
      <c r="AS35" s="80" t="s">
        <v>272</v>
      </c>
    </row>
    <row r="36" spans="1:45" ht="105.75" customHeight="1" x14ac:dyDescent="0.25">
      <c r="A36" s="19">
        <v>5</v>
      </c>
      <c r="B36" s="19" t="s">
        <v>216</v>
      </c>
      <c r="C36" s="19" t="s">
        <v>217</v>
      </c>
      <c r="D36" s="19" t="s">
        <v>218</v>
      </c>
      <c r="E36" s="20">
        <v>0.04</v>
      </c>
      <c r="F36" s="19" t="s">
        <v>183</v>
      </c>
      <c r="G36" s="19" t="s">
        <v>219</v>
      </c>
      <c r="H36" s="19" t="s">
        <v>220</v>
      </c>
      <c r="I36" s="19"/>
      <c r="J36" s="21" t="s">
        <v>221</v>
      </c>
      <c r="K36" s="21" t="s">
        <v>222</v>
      </c>
      <c r="L36" s="22">
        <v>0.33</v>
      </c>
      <c r="M36" s="22">
        <v>0.67</v>
      </c>
      <c r="N36" s="22">
        <v>1</v>
      </c>
      <c r="O36" s="22">
        <v>0</v>
      </c>
      <c r="P36" s="22">
        <v>1</v>
      </c>
      <c r="Q36" s="19" t="s">
        <v>84</v>
      </c>
      <c r="R36" s="19" t="s">
        <v>223</v>
      </c>
      <c r="S36" s="19" t="s">
        <v>224</v>
      </c>
      <c r="T36" s="19" t="s">
        <v>225</v>
      </c>
      <c r="U36" s="19" t="s">
        <v>224</v>
      </c>
      <c r="V36" s="46">
        <f>L36</f>
        <v>0.33</v>
      </c>
      <c r="W36" s="55">
        <v>0.97089999999999999</v>
      </c>
      <c r="X36" s="52">
        <v>1</v>
      </c>
      <c r="Y36" s="61" t="s">
        <v>226</v>
      </c>
      <c r="Z36" s="61" t="s">
        <v>227</v>
      </c>
      <c r="AA36" s="46">
        <f t="shared" si="6"/>
        <v>0.67</v>
      </c>
      <c r="AB36" s="81">
        <v>0.99199999999999999</v>
      </c>
      <c r="AC36" s="82">
        <f t="shared" si="7"/>
        <v>1</v>
      </c>
      <c r="AD36" s="80" t="s">
        <v>275</v>
      </c>
      <c r="AE36" s="80" t="s">
        <v>274</v>
      </c>
      <c r="AF36" s="20">
        <f t="shared" si="2"/>
        <v>1</v>
      </c>
      <c r="AG36" s="19"/>
      <c r="AH36" s="19"/>
      <c r="AI36" s="19"/>
      <c r="AJ36" s="19"/>
      <c r="AK36" s="20">
        <f t="shared" si="3"/>
        <v>0</v>
      </c>
      <c r="AL36" s="19"/>
      <c r="AM36" s="19"/>
      <c r="AN36" s="19"/>
      <c r="AO36" s="19"/>
      <c r="AP36" s="52">
        <f t="shared" si="4"/>
        <v>1</v>
      </c>
      <c r="AQ36" s="55">
        <v>0.99199999999999999</v>
      </c>
      <c r="AR36" s="55">
        <f t="shared" si="1"/>
        <v>0.99199999999999999</v>
      </c>
      <c r="AS36" s="80" t="s">
        <v>275</v>
      </c>
    </row>
    <row r="37" spans="1:45" s="39" customFormat="1" ht="15.75" x14ac:dyDescent="0.25">
      <c r="A37" s="16"/>
      <c r="B37" s="16"/>
      <c r="C37" s="16"/>
      <c r="D37" s="25" t="s">
        <v>228</v>
      </c>
      <c r="E37" s="26">
        <f>SUM(E32:E36)</f>
        <v>0.2</v>
      </c>
      <c r="F37" s="25"/>
      <c r="G37" s="25"/>
      <c r="H37" s="25"/>
      <c r="I37" s="25"/>
      <c r="J37" s="25"/>
      <c r="K37" s="25"/>
      <c r="L37" s="27">
        <f>AVERAGE(L33:L36)</f>
        <v>0.33250000000000002</v>
      </c>
      <c r="M37" s="27">
        <f>AVERAGE(M33:M36)</f>
        <v>0.91749999999999998</v>
      </c>
      <c r="N37" s="27">
        <f>AVERAGE(N33:N36)</f>
        <v>1</v>
      </c>
      <c r="O37" s="27">
        <f>AVERAGE(O33:O36)</f>
        <v>0.5</v>
      </c>
      <c r="P37" s="27">
        <f>AVERAGE(P33:P36)</f>
        <v>1</v>
      </c>
      <c r="Q37" s="25"/>
      <c r="R37" s="16"/>
      <c r="S37" s="16"/>
      <c r="T37" s="16"/>
      <c r="U37" s="16"/>
      <c r="V37" s="48"/>
      <c r="W37" s="48"/>
      <c r="X37" s="45">
        <f>AVERAGE(X32:X36)*20%</f>
        <v>0.2</v>
      </c>
      <c r="Y37" s="60"/>
      <c r="Z37" s="60"/>
      <c r="AA37" s="73">
        <f>AVERAGE(AA33:AA36)</f>
        <v>0.91749999999999998</v>
      </c>
      <c r="AB37" s="74"/>
      <c r="AC37" s="98">
        <f>AVERAGE(AC32:AC36)*20%</f>
        <v>0.18080799999999997</v>
      </c>
      <c r="AD37" s="72"/>
      <c r="AE37" s="72"/>
      <c r="AF37" s="73">
        <f>AVERAGE(AF33:AF36)</f>
        <v>1</v>
      </c>
      <c r="AG37" s="74"/>
      <c r="AH37" s="74" t="e">
        <f>AVERAGE(AH32:AH36)*20%</f>
        <v>#DIV/0!</v>
      </c>
      <c r="AI37" s="70"/>
      <c r="AJ37" s="70"/>
      <c r="AK37" s="73">
        <f>AVERAGE(AK33:AK36)</f>
        <v>0.5</v>
      </c>
      <c r="AL37" s="74"/>
      <c r="AM37" s="74" t="e">
        <f>AVERAGE(AM32:AM36)*20%</f>
        <v>#DIV/0!</v>
      </c>
      <c r="AN37" s="70"/>
      <c r="AO37" s="70"/>
      <c r="AP37" s="74"/>
      <c r="AQ37" s="74"/>
      <c r="AR37" s="100">
        <f>AVERAGE(AR32:AR36)*20%</f>
        <v>0.10533646399999999</v>
      </c>
      <c r="AS37" s="72"/>
    </row>
    <row r="38" spans="1:45" s="40" customFormat="1" ht="18.75" x14ac:dyDescent="0.3">
      <c r="A38" s="28"/>
      <c r="B38" s="28"/>
      <c r="C38" s="28"/>
      <c r="D38" s="29" t="s">
        <v>229</v>
      </c>
      <c r="E38" s="30">
        <f>E37+E31</f>
        <v>1.0000000000000009</v>
      </c>
      <c r="F38" s="28"/>
      <c r="G38" s="28"/>
      <c r="H38" s="28"/>
      <c r="I38" s="28"/>
      <c r="J38" s="28"/>
      <c r="K38" s="28"/>
      <c r="L38" s="31">
        <f>L37*$E$37</f>
        <v>6.6500000000000004E-2</v>
      </c>
      <c r="M38" s="31">
        <f>M37*$E$37</f>
        <v>0.1835</v>
      </c>
      <c r="N38" s="31">
        <f>N37*$E$37</f>
        <v>0.2</v>
      </c>
      <c r="O38" s="31">
        <f>O37*$E$37</f>
        <v>0.1</v>
      </c>
      <c r="P38" s="31">
        <f>P37*$E$37</f>
        <v>0.2</v>
      </c>
      <c r="Q38" s="28"/>
      <c r="R38" s="28"/>
      <c r="S38" s="28"/>
      <c r="T38" s="28"/>
      <c r="U38" s="28"/>
      <c r="V38" s="49"/>
      <c r="W38" s="49"/>
      <c r="X38" s="56">
        <f>X31+X37</f>
        <v>0.74092777777777785</v>
      </c>
      <c r="Y38" s="62"/>
      <c r="Z38" s="62"/>
      <c r="AA38" s="75">
        <f>AA37*$E$37</f>
        <v>0.1835</v>
      </c>
      <c r="AB38" s="76"/>
      <c r="AC38" s="99">
        <f>AC31+AC37</f>
        <v>0.87990026006191946</v>
      </c>
      <c r="AD38" s="79"/>
      <c r="AE38" s="79"/>
      <c r="AF38" s="75">
        <f>AF37*$E$37</f>
        <v>0.2</v>
      </c>
      <c r="AG38" s="76"/>
      <c r="AH38" s="77" t="e">
        <f>AH31+AH37</f>
        <v>#DIV/0!</v>
      </c>
      <c r="AI38" s="78"/>
      <c r="AJ38" s="78"/>
      <c r="AK38" s="75">
        <f>AK37*$E$37</f>
        <v>0.1</v>
      </c>
      <c r="AL38" s="76"/>
      <c r="AM38" s="77" t="e">
        <f>AM31+AM37</f>
        <v>#DIV/0!</v>
      </c>
      <c r="AN38" s="78"/>
      <c r="AO38" s="78"/>
      <c r="AP38" s="76"/>
      <c r="AQ38" s="76"/>
      <c r="AR38" s="99">
        <f>AR31+AR37</f>
        <v>0.52272794155765179</v>
      </c>
      <c r="AS38" s="79"/>
    </row>
  </sheetData>
  <sheetProtection algorithmName="SHA-512" hashValue="aiL6gio0Rh+i7fA4QaIzYS7gEqvGMsNCcgW4GjvETSKyjYw0nra19WUSaU2JSKePzKmoRQm98Io4turEjgyiAA==" saltValue="sWmG8WBprIG+62FcMusOeQ==" spinCount="100000" sheet="1" objects="1" scenarios="1" formatColumns="0" formatRows="0" selectLockedCells="1" autoFilter="0" selectUnlockedCells="1"/>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count="3">
    <dataValidation allowBlank="1" showInputMessage="1" showErrorMessage="1" error="Escriba un texto " promptTitle="Cualquier contenido" sqref="F13:F30"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32:Y36" xr:uid="{00000000-0002-0000-0000-000001000000}">
      <formula1>2500</formula1>
    </dataValidation>
    <dataValidation type="textLength" operator="lessThanOrEqual" allowBlank="1" showInputMessage="1" showErrorMessage="1" error="Por favor ingresar menos de 2.500 caracteres, incluyendo espacios." sqref="Z32:Z36 W32:X36 AQ36" xr:uid="{00000000-0002-0000-0000-000002000000}">
      <formula1>2500</formula1>
    </dataValidation>
  </dataValidations>
  <hyperlinks>
    <hyperlink ref="AE34" r:id="rId1" xr:uid="{7CF6540E-FF21-475E-A570-AAB9A7879840}"/>
  </hyperlinks>
  <pageMargins left="0.7" right="0.7" top="0.75" bottom="0.75" header="0.3" footer="0.3"/>
  <pageSetup paperSize="9" orientation="portrait" r:id="rId2"/>
  <ignoredErrors>
    <ignoredError sqref="M37:P37" formulaRange="1"/>
    <ignoredError sqref="X24"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San Cristobal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2021-08-12T14:15:09Z</dcterms:modified>
  <cp:category/>
  <cp:contentStatus/>
</cp:coreProperties>
</file>