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23" documentId="14_{4AAA9D1B-6A46-40FA-B6DB-3C180EDE46F0}" xr6:coauthVersionLast="47" xr6:coauthVersionMax="47" xr10:uidLastSave="{24C2FCC8-6919-419F-B7C2-777C2CE02CB1}"/>
  <workbookProtection lockStructure="1"/>
  <bookViews>
    <workbookView xWindow="-120" yWindow="-120" windowWidth="29040" windowHeight="15840" xr2:uid="{00000000-000D-0000-FFFF-FFFF00000000}"/>
  </bookViews>
  <sheets>
    <sheet name="2021 Santa F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3" i="1" l="1"/>
  <c r="AB16" i="1"/>
  <c r="AQ36" i="1"/>
  <c r="AQ34" i="1" l="1"/>
  <c r="AQ35" i="1"/>
  <c r="AQ33" i="1"/>
  <c r="AQ31" i="1"/>
  <c r="AQ30" i="1"/>
  <c r="AQ29" i="1"/>
  <c r="AQ28" i="1"/>
  <c r="AQ26" i="1"/>
  <c r="AQ25" i="1"/>
  <c r="AQ24" i="1"/>
  <c r="AQ22" i="1"/>
  <c r="AQ21" i="1"/>
  <c r="AR29" i="1" l="1"/>
  <c r="AA31" i="1"/>
  <c r="AC31" i="1" s="1"/>
  <c r="AA30" i="1"/>
  <c r="AC30" i="1" s="1"/>
  <c r="AA29" i="1"/>
  <c r="AC29" i="1" s="1"/>
  <c r="AA28" i="1"/>
  <c r="AC28" i="1" s="1"/>
  <c r="AC27" i="1"/>
  <c r="AA26" i="1"/>
  <c r="AC26" i="1" s="1"/>
  <c r="AA25" i="1"/>
  <c r="AC25" i="1" s="1"/>
  <c r="AA24" i="1"/>
  <c r="AC24" i="1" s="1"/>
  <c r="AA23" i="1"/>
  <c r="AC23" i="1" s="1"/>
  <c r="AA22" i="1"/>
  <c r="AC22" i="1" s="1"/>
  <c r="AA21" i="1"/>
  <c r="AC21" i="1" s="1"/>
  <c r="AA20" i="1"/>
  <c r="AC20" i="1" s="1"/>
  <c r="AA19" i="1"/>
  <c r="AC19" i="1" s="1"/>
  <c r="AA18" i="1"/>
  <c r="AC18" i="1" s="1"/>
  <c r="AA17" i="1"/>
  <c r="AA16" i="1"/>
  <c r="AC16" i="1" s="1"/>
  <c r="AM38" i="1"/>
  <c r="AM30" i="1"/>
  <c r="AM26" i="1"/>
  <c r="AM22" i="1"/>
  <c r="AM18" i="1"/>
  <c r="AM14" i="1"/>
  <c r="AH38" i="1"/>
  <c r="AH31" i="1"/>
  <c r="AH27" i="1"/>
  <c r="AH23" i="1"/>
  <c r="AH19" i="1"/>
  <c r="AH15" i="1"/>
  <c r="AC14" i="1"/>
  <c r="X38" i="1"/>
  <c r="X23" i="1"/>
  <c r="AR19" i="1"/>
  <c r="M38" i="1"/>
  <c r="L38" i="1"/>
  <c r="L39" i="1" s="1"/>
  <c r="E15" i="1"/>
  <c r="E16" i="1"/>
  <c r="E17" i="1"/>
  <c r="E18" i="1"/>
  <c r="E32" i="1" s="1"/>
  <c r="E39" i="1" s="1"/>
  <c r="E19" i="1"/>
  <c r="E20" i="1"/>
  <c r="E21" i="1"/>
  <c r="E22" i="1"/>
  <c r="E23" i="1"/>
  <c r="E24" i="1"/>
  <c r="E25" i="1"/>
  <c r="E26" i="1"/>
  <c r="E27" i="1"/>
  <c r="E28" i="1"/>
  <c r="E29" i="1"/>
  <c r="E30" i="1"/>
  <c r="E31" i="1"/>
  <c r="P29" i="1"/>
  <c r="P30" i="1"/>
  <c r="P31" i="1"/>
  <c r="AP31" i="1" s="1"/>
  <c r="AR31" i="1" s="1"/>
  <c r="E14" i="1"/>
  <c r="P28" i="1"/>
  <c r="P27" i="1"/>
  <c r="P26" i="1"/>
  <c r="P25" i="1"/>
  <c r="P24" i="1"/>
  <c r="P38" i="1"/>
  <c r="O38" i="1"/>
  <c r="O39" i="1" s="1"/>
  <c r="N38" i="1"/>
  <c r="AP37" i="1"/>
  <c r="AR37" i="1" s="1"/>
  <c r="AP36" i="1"/>
  <c r="AR36" i="1" s="1"/>
  <c r="AP35" i="1"/>
  <c r="AR35" i="1" s="1"/>
  <c r="AP34" i="1"/>
  <c r="AR34" i="1" s="1"/>
  <c r="AP33" i="1"/>
  <c r="AR33" i="1" s="1"/>
  <c r="AP30" i="1"/>
  <c r="AR30" i="1" s="1"/>
  <c r="AP29" i="1"/>
  <c r="AP28" i="1"/>
  <c r="AR28" i="1" s="1"/>
  <c r="AP27" i="1"/>
  <c r="AR27" i="1" s="1"/>
  <c r="AP26" i="1"/>
  <c r="AR26" i="1" s="1"/>
  <c r="AP25" i="1"/>
  <c r="AR25" i="1" s="1"/>
  <c r="AP24" i="1"/>
  <c r="AR24" i="1" s="1"/>
  <c r="AP23" i="1"/>
  <c r="AR23" i="1" s="1"/>
  <c r="AP22" i="1"/>
  <c r="AR22" i="1" s="1"/>
  <c r="AP21" i="1"/>
  <c r="AR21" i="1" s="1"/>
  <c r="AP20" i="1"/>
  <c r="AR20" i="1" s="1"/>
  <c r="AP19" i="1"/>
  <c r="AP18" i="1"/>
  <c r="AR18" i="1" s="1"/>
  <c r="AP17" i="1"/>
  <c r="AR17" i="1" s="1"/>
  <c r="AP16" i="1"/>
  <c r="AR16" i="1" s="1"/>
  <c r="AP15" i="1"/>
  <c r="AR15" i="1" s="1"/>
  <c r="AP14" i="1"/>
  <c r="AR14" i="1" s="1"/>
  <c r="AK37" i="1"/>
  <c r="AK36" i="1"/>
  <c r="AK35" i="1"/>
  <c r="AK34" i="1"/>
  <c r="AK33" i="1"/>
  <c r="AK31" i="1"/>
  <c r="AM31" i="1" s="1"/>
  <c r="AK30" i="1"/>
  <c r="AK29" i="1"/>
  <c r="AM29" i="1" s="1"/>
  <c r="AK28" i="1"/>
  <c r="AM28" i="1" s="1"/>
  <c r="AK27" i="1"/>
  <c r="AM27" i="1" s="1"/>
  <c r="AK26" i="1"/>
  <c r="AK25" i="1"/>
  <c r="AM25" i="1" s="1"/>
  <c r="AK24" i="1"/>
  <c r="AM24" i="1" s="1"/>
  <c r="AK23" i="1"/>
  <c r="AM23" i="1" s="1"/>
  <c r="AK22" i="1"/>
  <c r="AK21" i="1"/>
  <c r="AM21" i="1" s="1"/>
  <c r="AK20" i="1"/>
  <c r="AM20" i="1" s="1"/>
  <c r="AK19" i="1"/>
  <c r="AM19" i="1" s="1"/>
  <c r="AK18" i="1"/>
  <c r="AK17" i="1"/>
  <c r="AM17" i="1" s="1"/>
  <c r="AK16" i="1"/>
  <c r="AM16" i="1" s="1"/>
  <c r="AK15" i="1"/>
  <c r="AM15" i="1" s="1"/>
  <c r="AK14" i="1"/>
  <c r="AF37" i="1"/>
  <c r="AF36" i="1"/>
  <c r="AF35" i="1"/>
  <c r="AF34" i="1"/>
  <c r="AF33" i="1"/>
  <c r="AF31" i="1"/>
  <c r="AF30" i="1"/>
  <c r="AH30" i="1" s="1"/>
  <c r="AF29" i="1"/>
  <c r="AH29" i="1" s="1"/>
  <c r="AF28" i="1"/>
  <c r="AH28" i="1" s="1"/>
  <c r="AF27" i="1"/>
  <c r="AF26" i="1"/>
  <c r="AH26" i="1" s="1"/>
  <c r="AF25" i="1"/>
  <c r="AH25" i="1" s="1"/>
  <c r="AF24" i="1"/>
  <c r="AH24" i="1" s="1"/>
  <c r="AF23" i="1"/>
  <c r="AF22" i="1"/>
  <c r="AH22" i="1" s="1"/>
  <c r="AF21" i="1"/>
  <c r="AH21" i="1" s="1"/>
  <c r="AF20" i="1"/>
  <c r="AH20" i="1" s="1"/>
  <c r="AF19" i="1"/>
  <c r="AF18" i="1"/>
  <c r="AH18" i="1" s="1"/>
  <c r="AF17" i="1"/>
  <c r="AH17" i="1" s="1"/>
  <c r="AF16" i="1"/>
  <c r="AH16" i="1" s="1"/>
  <c r="AF15" i="1"/>
  <c r="AF14" i="1"/>
  <c r="AH14" i="1" s="1"/>
  <c r="AH32" i="1" s="1"/>
  <c r="AH39" i="1" s="1"/>
  <c r="AA37" i="1"/>
  <c r="AC37" i="1" s="1"/>
  <c r="AA36" i="1"/>
  <c r="AC36" i="1" s="1"/>
  <c r="AA35" i="1"/>
  <c r="AC35" i="1" s="1"/>
  <c r="AA34" i="1"/>
  <c r="AC34" i="1" s="1"/>
  <c r="AA33" i="1"/>
  <c r="AC33" i="1" s="1"/>
  <c r="AC38" i="1" s="1"/>
  <c r="V37" i="1"/>
  <c r="V34" i="1"/>
  <c r="V31" i="1"/>
  <c r="V30" i="1"/>
  <c r="V29" i="1"/>
  <c r="V28" i="1"/>
  <c r="V27" i="1"/>
  <c r="V26" i="1"/>
  <c r="X26" i="1" s="1"/>
  <c r="V25" i="1"/>
  <c r="V24" i="1"/>
  <c r="V23" i="1"/>
  <c r="V22" i="1"/>
  <c r="X22" i="1" s="1"/>
  <c r="V21" i="1"/>
  <c r="X21" i="1" s="1"/>
  <c r="V20" i="1"/>
  <c r="V19" i="1"/>
  <c r="V18" i="1"/>
  <c r="X18" i="1" s="1"/>
  <c r="X32" i="1" s="1"/>
  <c r="X39" i="1" s="1"/>
  <c r="V17" i="1"/>
  <c r="V16" i="1"/>
  <c r="E38" i="1"/>
  <c r="N39" i="1"/>
  <c r="M39" i="1"/>
  <c r="P39" i="1"/>
  <c r="AM32" i="1" l="1"/>
  <c r="AM39" i="1" s="1"/>
  <c r="AR38" i="1"/>
  <c r="AR32" i="1"/>
  <c r="AC32" i="1"/>
  <c r="AC39" i="1" s="1"/>
  <c r="AR39" i="1" l="1"/>
</calcChain>
</file>

<file path=xl/sharedStrings.xml><?xml version="1.0" encoding="utf-8"?>
<sst xmlns="http://schemas.openxmlformats.org/spreadsheetml/2006/main" count="512" uniqueCount="283">
  <si>
    <r>
      <t xml:space="preserve">ALCALDÍA LOCAL DE </t>
    </r>
    <r>
      <rPr>
        <b/>
        <u/>
        <sz val="11"/>
        <color indexed="8"/>
        <rFont val="Calibri Light"/>
        <family val="2"/>
      </rPr>
      <t>SANTA FE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</si>
  <si>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</si>
  <si>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</si>
  <si>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</si>
  <si>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</si>
  <si>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</si>
  <si>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</si>
  <si>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</si>
  <si>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</si>
  <si>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</si>
  <si>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160841</t>
  </si>
  <si>
    <t>28 de abril de 2021</t>
  </si>
  <si>
    <t xml:space="preserve">Para el primer trimestre de la vigencia 2021, el plan de gestión de la Alcaldía Local alcanzó un nivel de desempeño del 84% de acuerdo con lo programado, y del 26% acumulado para la vigencia.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</si>
  <si>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</si>
  <si>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</si>
  <si>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</si>
  <si>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</si>
  <si>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</si>
  <si>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</si>
  <si>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</si>
  <si>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</si>
  <si>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</si>
  <si>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</si>
  <si>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</si>
  <si>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</si>
  <si>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</si>
  <si>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</si>
  <si>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</si>
  <si>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</si>
  <si>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</si>
  <si>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</si>
  <si>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</si>
  <si>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</si>
  <si>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</si>
  <si>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</si>
  <si>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</si>
  <si>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</si>
  <si>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</si>
  <si>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</si>
  <si>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</si>
  <si>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</si>
  <si>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</si>
  <si>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</si>
  <si>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</si>
  <si>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</si>
  <si>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</si>
  <si>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</si>
  <si>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</si>
  <si>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</si>
  <si>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</si>
  <si>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</si>
  <si>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</si>
  <si>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</si>
  <si>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</si>
  <si>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</si>
  <si>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</si>
  <si>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</si>
  <si>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</si>
  <si>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</si>
  <si>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</si>
  <si>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</si>
  <si>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</si>
  <si>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</si>
  <si>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</si>
  <si>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</si>
  <si>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</si>
  <si>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</si>
  <si>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</si>
  <si>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</si>
  <si>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</si>
  <si>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</si>
  <si>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</si>
  <si>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</si>
  <si>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</si>
  <si>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</si>
  <si>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</si>
  <si>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</si>
  <si>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</si>
  <si>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</si>
  <si>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</si>
  <si>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contactaron 18 promotores de iniciativas ganadoras con el animo de respaldar las acciones de la ciudadania, sin embargo no se logro realizar proceso de contratación. Para este trimestre no se logró ejecutar ninguna iniciativa de presupuestos participativos, ya que se está adelantando la concertación y ampliación de la información de cada iniciativa.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</si>
  <si>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No aplica</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</si>
  <si>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</si>
  <si>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</si>
  <si>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</si>
  <si>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</si>
  <si>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</si>
  <si>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</si>
  <si>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</si>
  <si>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</si>
  <si>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sobrepaso la meta teniendo en cuenta que se avanzó  en la depuración de las Obligaciones por Pagar de la vigencia 2020.</t>
  </si>
  <si>
    <t>Aplicativo BOGDATA
Ejecución presupuestal de gastos
http://www.santafe.gov.co/transparencia/presupuesto/ejecucion-presupuestal
Reporte DGDL</t>
  </si>
  <si>
    <t>37.40%</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</si>
  <si>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</si>
  <si>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</si>
  <si>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</si>
  <si>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Porcentaje igual a la meta en razón a la depuración de Obligaciones por pagar de vigencias anteriores que se encuentra realizando el FDL</t>
  </si>
  <si>
    <t>Aplicativo BOGDATA
Ejecución presupuestal de gastos
http://www.santafe.gov.co/transparencia/presupuesto/ejecucion-presupuestal</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</si>
  <si>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</si>
  <si>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</si>
  <si>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</si>
  <si>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</si>
  <si>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sobrepasó la meta en razón a que se obtuvo un  avance en  los procesos contractuales de manera temprana.</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</si>
  <si>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</si>
  <si>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</si>
  <si>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</si>
  <si>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sobrepasó la meta por giros realizados y transferencia monetaria de Ingreso mínimo solidario</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</si>
  <si>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</si>
  <si>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</si>
  <si>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</si>
  <si>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</si>
  <si>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</si>
  <si>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No se cumplió la totalidad de la meta programada, dado que no todos los contratos publicados en SECOP alcanzaaron a ser registrados en SIPSE Local.</t>
  </si>
  <si>
    <t>Reporte enviado por la Oficina Asesora de Planeacion.</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</si>
  <si>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</si>
  <si>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</si>
  <si>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</si>
  <si>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</si>
  <si>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</si>
  <si>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El 67,5% de los contratos celebrados se encuentran en estado ejecución dentro del sistema SIPSE Local. </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</si>
  <si>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</si>
  <si>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</si>
  <si>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</si>
  <si>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Se registró y actualizó parcialmente la información en los módulos y funcionalidades en producción de SIPSE Local de la vigencia (Módulo de proyectos-Banco de Iniciativas, Módulo de Contratación y Financiero), con un resultado del 71,1%</t>
  </si>
  <si>
    <t>Soportes AL</t>
  </si>
  <si>
    <t>Inspección, vigilancia y control</t>
  </si>
  <si>
    <r>
      <t xml:space="preserve">11. Impulsar procesalmente (avocar, rechazar, enviar al competente y todo lo que derive del desarrollo de la actuación), </t>
    </r>
    <r>
      <rPr>
        <b/>
        <sz val="11"/>
        <color indexed="8"/>
        <rFont val="Calibri Light"/>
        <family val="2"/>
      </rPr>
      <t>7.200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</si>
  <si>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</si>
  <si>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</si>
  <si>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</si>
  <si>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</si>
  <si>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</si>
  <si>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</si>
  <si>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impulsó procesalmente 5755 expedientes. </t>
  </si>
  <si>
    <t>Correo electronico y estadistica enviada por parte de la Direccion para la Gestion Policiva</t>
  </si>
  <si>
    <r>
      <t xml:space="preserve">12. Proferir </t>
    </r>
    <r>
      <rPr>
        <b/>
        <sz val="11"/>
        <color indexed="8"/>
        <rFont val="Calibri Light"/>
        <family val="2"/>
      </rPr>
      <t>3.600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</si>
  <si>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</si>
  <si>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</si>
  <si>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</si>
  <si>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Se emitieron 3.121 fallos de primera instancia para el I Trimestre de 2021.</t>
  </si>
  <si>
    <r>
      <t xml:space="preserve">13. Terminar (archivar), </t>
    </r>
    <r>
      <rPr>
        <b/>
        <sz val="11"/>
        <color indexed="8"/>
        <rFont val="Calibri Light"/>
        <family val="2"/>
      </rPr>
      <t xml:space="preserve">66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</si>
  <si>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</si>
  <si>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</si>
  <si>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</si>
  <si>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</si>
  <si>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</si>
  <si>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Durante el 1er trimestre del año 2021, el área de gestión policiva realizó el archivo de 6 actuaciones administrativas  de fondo, que equivale al 54,5% de la meta programada. No se logró el cumplimiento total de esta meta,por cuanto se está realizando el proceso de notificación. </t>
  </si>
  <si>
    <t>REPORTE SI ACTUA</t>
  </si>
  <si>
    <r>
      <t xml:space="preserve">14. Terminar </t>
    </r>
    <r>
      <rPr>
        <b/>
        <sz val="11"/>
        <color indexed="8"/>
        <rFont val="Calibri Light"/>
        <family val="2"/>
      </rPr>
      <t>21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</si>
  <si>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</si>
  <si>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</si>
  <si>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Durante el 1er trimestre del año 2021, el area de gestion policiva realizó el archivo de 6 actuaciones administrativas  de fondo. Sin embargo, del reporte realizado por la Dirección para la Gestión Policiva, no se tienen actuaciones administrativas en primera instancia registradas en el aplicativo</t>
  </si>
  <si>
    <t>actas de operativo</t>
  </si>
  <si>
    <r>
      <t xml:space="preserve">15. Realizar </t>
    </r>
    <r>
      <rPr>
        <b/>
        <sz val="11"/>
        <color indexed="8"/>
        <rFont val="Calibri Light"/>
        <family val="2"/>
      </rPr>
      <t>60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</si>
  <si>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</si>
  <si>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</si>
  <si>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</si>
  <si>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</si>
  <si>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</si>
  <si>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Durante el 1er trimestre del año 2021, el área de gestión policiva realizó 30 operativos, que equivale a un 100% por encima de la meta programada.
Estos operativos se realizaron cumpliendo con los decretos distritales y naciones frente al COVID 19</t>
  </si>
  <si>
    <t>ACTAS DE OPERATIVOS</t>
  </si>
  <si>
    <r>
      <t xml:space="preserve">16. Realizar </t>
    </r>
    <r>
      <rPr>
        <b/>
        <sz val="11"/>
        <color indexed="8"/>
        <rFont val="Calibri Light"/>
        <family val="2"/>
      </rPr>
      <t>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</si>
  <si>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</si>
  <si>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</si>
  <si>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1er trimestre del año 2021, el area de gestion policiva realizó 15 operativos, que equivale al 115% de la meta programada.Estos opertativos se realizaron en virtud de cumplimiento de la ley 1801 de 2016, Ley 232 de 1995</t>
  </si>
  <si>
    <t>INFORMES TECNICOS</t>
  </si>
  <si>
    <t>Durante el 2do trimestre del año 2021, el area de gestion policiva realizó 20 operativos. Estos opertativos se realizaron en virtud de cumplimiento de la ley 1801 de 2016, Ley 232 de 1995</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</si>
  <si>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</si>
  <si>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</si>
  <si>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</si>
  <si>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Durante el 1er trimestre del año 2021, el area de gestion policiva realizó  18 operativos, que equivale al 125% por encima de la meta programada. Estos opertativos se realizaron en virtud de cumplimiento del Régimen de obras y urbanismo y la Ley 1801 de 2016</t>
  </si>
  <si>
    <t>Durante el 2do trimestre del año 2021, el area de gestion policiva realizó  15 operativos. Estos opertativos se realizaron en virtud de cumplimiento del Régimen de obras y urbanismo y la Ley 1801 de 2016</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</si>
  <si>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</si>
  <si>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</si>
  <si>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</si>
  <si>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Durante el 1er trimestre del año 2021, el area de gestion policiva realizo 11 operativos, que equivale al 0.22% por encima de la meta programada. Estos operativos se realizaron en virtud del cumplimiento de la accion popular 250002325000200500662 03</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</si>
  <si>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</si>
  <si>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</si>
  <si>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</si>
  <si>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</si>
  <si>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</si>
  <si>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</si>
  <si>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</si>
  <si>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</si>
  <si>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</si>
  <si>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</si>
  <si>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</si>
  <si>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</si>
  <si>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</si>
  <si>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</si>
  <si>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</si>
  <si>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</si>
  <si>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</si>
  <si>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</si>
  <si>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</si>
  <si>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</si>
  <si>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</si>
  <si>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cuenta con 14 acciones de mejora sin vencimiento.</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</si>
  <si>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</si>
  <si>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</si>
  <si>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</si>
  <si>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</si>
  <si>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</si>
  <si>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</si>
  <si>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</si>
  <si>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</si>
  <si>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</si>
  <si>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</si>
  <si>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</si>
  <si>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</si>
  <si>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</si>
  <si>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</si>
  <si>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</si>
  <si>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</si>
  <si>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</si>
  <si>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</si>
  <si>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</si>
  <si>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</si>
  <si>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</si>
  <si>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</si>
  <si>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</si>
  <si>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</si>
  <si>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</si>
  <si>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</si>
  <si>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dado respuesta a 7.487 requerimientos ciudadanos de las vigencias 2016 a 2020.</t>
  </si>
  <si>
    <t>Reporte CRONOS</t>
  </si>
  <si>
    <t>Total metas transversales (20%)</t>
  </si>
  <si>
    <t xml:space="preserve">Total plan de gestión </t>
  </si>
  <si>
    <t>30 de julio de 2021</t>
  </si>
  <si>
    <t>Reporte de ejecución de la meta aportado por la DGDL proveniente de la MUSI</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</si>
  <si>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1,1%
Nota: se ajusta la programación de la meta para el II Trimestre de 2021, dado que la información disponible corresponde al I Trimestre</t>
  </si>
  <si>
    <t>Para el primer trimestre, la Alcaldía Local alcanzó un avance del 1,1%
Nota: se ajusta la programación de la meta para el II Trimestre de 2021, dado que la información disponible corresponde al I Trimestre</t>
  </si>
  <si>
    <t>La Alcaldía Local Santa Fe giró $5.081.177.240 del presupuesto comprometido constituido como obligaciones por pagar de la vigencia 2020, equivalente a $13584619948, lo cual corresponde a un nivel de ejecución del 37,4%.
Se sobrepaso la meta teniendo en cuenta que se avanzó  en la depuración de las Obligaciones por Pagar de la vigencia 2020.</t>
  </si>
  <si>
    <t>La Alcaldía Local Santa Fe giró $5.081.177.240 del presupuesto comprometido constituido como obligaciones por pagar de la vigencia 2020, equivalente a $13584619948, lo cual corresponde a un nivel de ejecución del 37,4%.</t>
  </si>
  <si>
    <t>Aplicativo BOGDATA
Ejecución presupuestal de gastos
http://www.santafe.gov.co/transparencia/presupuesto/ejecucion-presupuestal
Reporte de seguimiento presentado por la Dirección para la Gestión del Desarrollo Local.</t>
  </si>
  <si>
    <t>Para el II Trimestre de 2021, la Alcaldía Local Santa Fe ha girado $1.155.925.803 del presupuesto comprometido constituido como obligaciones por pagar de la vigencia 2019 y anteriores, equivalente a $8.593.171.581, lo que representa un nivel de ejecución del 13,45%.</t>
  </si>
  <si>
    <t xml:space="preserve">Para el II Trimestre de 2021, la Alcaldía Local Santa Fe ha girado $1155925803del presupuesto comprometido constituido como obligaciones por pagar de la vigencia 2019 y anteriores, equivalente a $8593171581, lo que representa un nivel de ejecución del 13,45%, lo que representa un 22,42% del avance acumulado de la meta. </t>
  </si>
  <si>
    <t>Para el II Trimestre de 2021, la Alcaldía Local de Santa Fe comprometió $9.666.818.033 de los $25.224.011.000 asignados como presupuesto de inversión directa de la vigencia 2021, lo que representa un nivel de ejecución del 38,32%.  Se sobrepasó la meta en razón a que se obtuvo un  avance en  los procesos contractuales de manera temprana.</t>
  </si>
  <si>
    <t>Aplicativo BOGDATA
Ejecución presupuestal de gastos
http://www.santafe.gov.co/transparencia/presupuesto/ejecucion-presupuestal
Reporte de seguimiento presentado por la Dirección para la Gestión del Desarrollo Local.</t>
  </si>
  <si>
    <t>La Alcaldía Local de Santa Fe giró $4.911.150.240 de los $25.224.011.000 asignados como depuesto disponible de inversión directa de la vigencia, lo que representa un nivel de ejecución acumulado del 19,47%. 
Se sobrepasó la meta por giros realizados y transferencia que venía del mes pasado el porcentaje alto</t>
  </si>
  <si>
    <t>La Alcaldía Local de Santa Fe ha registrado 104 contratos de los 110 contratos publicados en la plataforma SECOP I y II, lo que representa un nivel de cumplimiento del 94,55% para el periodo. 
La meta cumplio con lo programado ya que de 110 contratos publicados en la plataforma SECOP I Y II 104  se registraron en SIPSE Local.</t>
  </si>
  <si>
    <t>Reporte de seguimiento presentado por la Dirección para la Gestión del Desarrollo Local.</t>
  </si>
  <si>
    <t xml:space="preserve">La Alcaldía Local de Santa Fe ha registrado 104 contratos de los 110 contratos publicados en la plataforma SECOP I y II, lo que representa un nivel de cumplimiento del 94,55% para el periodo. 
</t>
  </si>
  <si>
    <t xml:space="preserve">La Alcaldía Local de Santa Fe ha registrado 100 contratos en SIPSE Local en estado ejecución de los 103 contratos registrados en SIPSE Local, lo que equivale al 97,09%. 
No se alcanzo a cumplir con lo programado en la meta ya que de 103 contratos registrados en Sipse Local solo 100 se encuentran en estado de ejecucion, los 3 restantes se encuentran en proceso de completar el flujo. </t>
  </si>
  <si>
    <t xml:space="preserve">En el segundo trimestre de 2021, la alcaldía local de Santa Fe impulsó procesalmente 15.566 expedientes a cargo de las inspecciones de policía, lo que representa un resultado de 100% para el periodo. </t>
  </si>
  <si>
    <t xml:space="preserve">Se impulsó procesalmente 21.321 expedientes. </t>
  </si>
  <si>
    <t>Reporte de seguimiento presentado por la Dirección para la Gestión Policiva</t>
  </si>
  <si>
    <t xml:space="preserve">En el segundo trimestre de 2021, la alcaldía local de Santa Fe profirió 6063 fallos en primera instancia sobre los expedientes a cargo de las inspecciones de policía, lo que representa un resultado de 100% para el periodo. </t>
  </si>
  <si>
    <t>Se emitieron 9.184 fallos de primera instancia para el I y II Trimestre de 2021.</t>
  </si>
  <si>
    <t xml:space="preserve">Durante el 2do trimestre del año 2021, el área de gestión policiva realizó el archivo de 9 actuaciones administrativas  de fondo. No se logró el cumplimiento total de esta meta,por cuanto se está realizando el proceso de notificación. </t>
  </si>
  <si>
    <t xml:space="preserve">Durante el 2do trimestre del año 2021, el área de gestión policiva realizó el archivo de 9 actuaciones administrativas  de fondo. La meta presenta un avance acumulado del 23%. </t>
  </si>
  <si>
    <t xml:space="preserve">En el segundo trimestre de 2021, la alcaldía local de Santa Fe terminó 2 actuaciones administrativas en primera instancia, lo que representa un resultado de 28,57% para el periodo. </t>
  </si>
  <si>
    <t xml:space="preserve">En el segundo trimestre de 2021, la alcaldía local de Santa Fe terminó 2 actuaciones administrativas en primera instancia, lo que representa un resultado de 28,57% para el periodo. La meta presenta un avance acumulado del 10%. </t>
  </si>
  <si>
    <t>Durante el 2do trimestre del año 2021, el área de gestión policiva realizó 20 operativos, que equivale a un resultado superior a la la meta programada.</t>
  </si>
  <si>
    <t>Durante el 1er semestre de 2021, el área de gestión policiva realizó 50 operativos, lo que representa un avance acumulado del 83% de la meta programada.
Estos operativos se realizaron cumpliendo con los decretos distritales y naciones frente al COVID 19</t>
  </si>
  <si>
    <t>Durante el 1er semestre de 2021, el área de gestión policiva realizó 35 operativos, que equivale al 115% de la meta programada.Estos opertativos se realizaron en virtud de cumplimiento de la ley 1801 de 2016, Ley 232 de 1995</t>
  </si>
  <si>
    <t>Durante el 1er semestre de 2021, el área de gestión policiva realizó  33 operativos de obras y urbanismo. Estos opertativos se realizaron en virtud de cumplimiento del Régimen de obras y urbanismo y la Ley 1801 de 2016</t>
  </si>
  <si>
    <t>Durante el 2do trimestre del año 2021, el area de gestión policiva realizó 8 operativos. Estos operativos se realizaron en virtud del cumplimiento de la acción popular 250002325000200500662 03</t>
  </si>
  <si>
    <t xml:space="preserve">Durante el 1er semestre de 2021, el área de gestión policiva realizo 19 operativos, que equivale al 43% de la meta programada para la vigencia. </t>
  </si>
  <si>
    <t>Implementación del Sistema de Gestión Ambiental en un porcentaje de 97%, resultados obtenidos de la inspección ambiental realizada el 13 de abril de 2021, empleando el formato: PLE-PIN-F012 Formato inspecciones ambientales para verificación de implementación del plan institucional de gestión ambiental.</t>
  </si>
  <si>
    <t>Reporte de gestión ambiental OAP</t>
  </si>
  <si>
    <t xml:space="preserve">Implementación del Sistema de Gestión Ambiental en un porcentaje de 97%, resultados obtenidos de la inspección ambiental realizada el 13 de abril de 2021, empleando el formato: PLE-PIN-F012 Formato inspecciones ambientales para verificación de implementación del plan institucional de gestión ambiental. El avance acumulado de la meta es del 61%. </t>
  </si>
  <si>
    <t>La localidad tiene 11 acciones de las cuales 1 presenta vencimiento. El porcentaje que muestra el avance en el cierre o cumplimiento de acciones vencidas frente a las acciones asignadas en aplicativo MIMEC para los planes de mejora en ejecución.</t>
  </si>
  <si>
    <t>Reporte de acciones de mejora MIMEC.</t>
  </si>
  <si>
    <t>http://www.santafe.gov.co/tabla_archivos/107-registros-publicaciones-santa-fe</t>
  </si>
  <si>
    <t xml:space="preserve">La localidad tiene 11 acciones de las cuales 1 presenta vencimiento. El porcentaje que muestra el avance en el cierre o cumplimiento de acciones vencidas frente a las acciones asignadas en aplicativo MIMEC para los planes de mejora en ejecución. El avance acumulado de la meta es del 48%. </t>
  </si>
  <si>
    <t>La alcaldía local de Santa Fe asistió a la capacitación brindada a los promotores de mejora, en la que se brindaron lineamientos sobre la gestión de riesgos, planes de mejora, planeación institucional y PAAC.</t>
  </si>
  <si>
    <t xml:space="preserve">Registro de asistencia Teams. </t>
  </si>
  <si>
    <t xml:space="preserve">La Localidad de Santa Fe ha atendido 7.901 requerimientos ciudadanos, de los 8.050 recibidos, lo que representa un 98,1% de gestión frente a la meta prevista. </t>
  </si>
  <si>
    <t>Reporte de atención de requerimientos ciudadanos Subsecretaría de Gestión Institucional</t>
  </si>
  <si>
    <t>La Alcaldia Local de Santa Fe de acuerdo con el acta de presupuestos participativos del 2020 contaba con 63 iniciativas, sin embargo en la revisión tecnica se encontró que 4 iniciativas no eran viables, por lo tanto finalmente cuenta con 59 iniciativas de las cuales se ha comprometido recursos para 13 iniciativas.</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</si>
  <si>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</si>
  <si>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Excel de iniciativas en color verde que ya cuentan con compromisos presupuestales CRP
Reporte de seguimiento presentado por la Dirección para la Gestión Policiva</t>
  </si>
  <si>
    <t>La Alcaldía Local Santa Fe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t>
  </si>
  <si>
    <t xml:space="preserve">Para el segundo trimestre de la vigencia 2021, el plan de gestión de la Alcaldía Local alcanzó un nivel de desempeño del 83,19% de acuerdo con lo programado, y del 47,14% acumulado para la vigencia. Se corrigió la magnitud de la meta No. 5 para el I Trimestre de 2021, de acuerdo con la información aportada. </t>
  </si>
  <si>
    <t>Se registró y actualizó en un 97,1% la información en los módulos y funcionalidades en producción de SIPSE Local de la vigencia (Módulo de proyectos-Banco de Iniciativas, Módulo de Contratación y Financiero).</t>
  </si>
  <si>
    <t>Reporte SIPSE</t>
  </si>
  <si>
    <r>
      <t xml:space="preserve">10. Registrar y actualizar al </t>
    </r>
    <r>
      <rPr>
        <b/>
        <sz val="11"/>
        <rFont val="Calibri Light"/>
        <family val="2"/>
      </rPr>
      <t>95%</t>
    </r>
    <r>
      <rPr>
        <sz val="11"/>
        <rFont val="Calibri Light"/>
        <family val="2"/>
      </rPr>
      <t xml:space="preserve"> la información en los módulos y funcionalidades en producción de SIPSE Local de la vigencia (Módulo de proyectos-Banco de Iniciativas, Módulo de Contratación y Financiero)</t>
    </r>
  </si>
  <si>
    <t xml:space="preserve">La Alcaldía Local de Santa Fe ha registrado 100 contratos en SIPSE Local en estado ejecución de los 103 contratos registrados en SIPSE Local, lo que equivale al 97,09% para el II trimestre y un 41,15% de avance acumulado de la meta. </t>
  </si>
  <si>
    <t xml:space="preserve">Se registró y actualizó parcialmente la información en los módulos y funcionalidades en producción de SIPSE Local de la vigencia (Módulo de proyectos-Banco de Iniciativas, Módulo de Contratación y Financiero), con un resultado del 97,1% para el II Trimestre y del 44,26% acumulado para la meta. </t>
  </si>
  <si>
    <t>24 de agosto de 2021</t>
  </si>
  <si>
    <t>N</t>
  </si>
  <si>
    <t>Se ajusta avance acumulado de las metas 9 y 10 por error en la fórmula. Se recalcula el resultado del plan: el resultado del II trimestre es del 86,94% y el avance acumulado global es del 49,40%.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</si>
</sst>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b/>
      <sz val="11"/>
      <name val="Calibri Light"/>
      <family val="2"/>
    </font>
    <font>
      <sz val="11"/>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39">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9" fontId="9" fillId="2" borderId="1" xfId="2" applyFont="1" applyFill="1" applyBorder="1" applyAlignment="1" applyProtection="1">
      <alignment horizontal="right"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9" fontId="5" fillId="0" borderId="1" xfId="0" applyNumberFormat="1" applyFont="1" applyBorder="1" applyAlignment="1" applyProtection="1">
      <alignment horizontal="center" vertical="top" wrapText="1"/>
      <protection locked="0"/>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locked="0" hidden="1"/>
    </xf>
    <xf numFmtId="9" fontId="5" fillId="0" borderId="1" xfId="0" applyNumberFormat="1" applyFont="1" applyBorder="1" applyAlignment="1" applyProtection="1">
      <alignment horizontal="center" vertical="top" wrapText="1"/>
      <protection locked="0" hidden="1"/>
    </xf>
    <xf numFmtId="0" fontId="5" fillId="0" borderId="1" xfId="0"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164" fontId="5" fillId="0" borderId="1" xfId="2" applyNumberFormat="1" applyFont="1" applyBorder="1" applyAlignment="1" applyProtection="1">
      <alignment horizontal="center" vertical="top" wrapText="1"/>
      <protection locked="0"/>
    </xf>
    <xf numFmtId="9" fontId="5" fillId="0" borderId="0" xfId="0" applyNumberFormat="1" applyFont="1" applyAlignment="1" applyProtection="1">
      <alignment horizontal="center" vertical="top" wrapText="1"/>
      <protection hidden="1"/>
    </xf>
    <xf numFmtId="9" fontId="9" fillId="2" borderId="1" xfId="2" applyFont="1" applyFill="1" applyBorder="1" applyAlignment="1" applyProtection="1">
      <alignment horizontal="center" vertical="top" wrapText="1"/>
      <protection hidden="1"/>
    </xf>
    <xf numFmtId="9" fontId="10" fillId="0" borderId="1" xfId="2" applyFont="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vertical="top" wrapText="1"/>
      <protection hidden="1"/>
    </xf>
    <xf numFmtId="9" fontId="12" fillId="4" borderId="1" xfId="2" applyFont="1" applyFill="1" applyBorder="1" applyAlignment="1" applyProtection="1">
      <alignment horizontal="center" vertical="top" wrapText="1"/>
      <protection hidden="1"/>
    </xf>
    <xf numFmtId="9" fontId="13" fillId="4" borderId="1" xfId="0" applyNumberFormat="1" applyFont="1" applyFill="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9" fontId="5" fillId="0" borderId="1" xfId="2" applyFont="1" applyBorder="1" applyAlignment="1" applyProtection="1">
      <alignment horizontal="center" vertical="top" wrapText="1"/>
      <protection hidden="1"/>
    </xf>
    <xf numFmtId="164" fontId="5" fillId="0" borderId="1" xfId="2" applyNumberFormat="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6" fillId="6" borderId="1" xfId="0" applyFont="1" applyFill="1" applyBorder="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0" fontId="14" fillId="0" borderId="0" xfId="0" applyFont="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wrapText="1"/>
      <protection hidden="1"/>
    </xf>
    <xf numFmtId="0" fontId="6" fillId="5"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9" fontId="5" fillId="0" borderId="1" xfId="2" applyFont="1" applyBorder="1" applyAlignment="1">
      <alignment horizontal="right" vertical="top" wrapText="1"/>
    </xf>
    <xf numFmtId="10" fontId="5" fillId="0" borderId="1" xfId="2" applyNumberFormat="1" applyFont="1" applyBorder="1" applyAlignment="1">
      <alignment horizontal="center" vertical="top" wrapText="1"/>
    </xf>
    <xf numFmtId="1" fontId="5" fillId="0" borderId="1" xfId="0" applyNumberFormat="1" applyFont="1" applyBorder="1" applyAlignment="1">
      <alignment horizontal="right" vertical="top" wrapText="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7" borderId="1" xfId="0" applyFont="1" applyFill="1" applyBorder="1" applyAlignment="1" applyProtection="1">
      <alignment horizontal="center" vertical="center" wrapText="1"/>
      <protection hidden="1"/>
    </xf>
    <xf numFmtId="10" fontId="5" fillId="0" borderId="2" xfId="2" applyNumberFormat="1" applyFont="1" applyBorder="1" applyAlignment="1">
      <alignment horizontal="center" vertical="top" wrapText="1"/>
    </xf>
    <xf numFmtId="0" fontId="0" fillId="0" borderId="1" xfId="0" applyBorder="1" applyAlignment="1">
      <alignment vertical="top" wrapText="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64" fontId="5" fillId="0" borderId="1" xfId="2" applyNumberFormat="1" applyFont="1" applyBorder="1" applyAlignment="1">
      <alignment horizontal="center" vertical="top" wrapText="1"/>
    </xf>
    <xf numFmtId="9" fontId="5" fillId="0" borderId="1" xfId="2" applyFont="1" applyFill="1" applyBorder="1" applyAlignment="1">
      <alignment horizontal="center" vertical="top" wrapText="1"/>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9" fontId="9" fillId="2" borderId="1" xfId="2" applyFont="1" applyFill="1" applyBorder="1" applyAlignment="1" applyProtection="1">
      <alignment horizontal="center" wrapText="1"/>
      <protection hidden="1"/>
    </xf>
    <xf numFmtId="9" fontId="11" fillId="2" borderId="1" xfId="0" applyNumberFormat="1" applyFont="1" applyFill="1" applyBorder="1" applyAlignment="1" applyProtection="1">
      <alignment horizontal="center" wrapText="1"/>
      <protection hidden="1"/>
    </xf>
    <xf numFmtId="9" fontId="12" fillId="4" borderId="1" xfId="2" applyFont="1" applyFill="1" applyBorder="1" applyAlignment="1" applyProtection="1">
      <alignment horizontal="center" wrapText="1"/>
      <protection hidden="1"/>
    </xf>
    <xf numFmtId="9" fontId="10" fillId="0" borderId="1" xfId="0" applyNumberFormat="1" applyFont="1" applyBorder="1" applyAlignment="1" applyProtection="1">
      <alignment horizontal="justify" vertical="top" wrapText="1"/>
      <protection hidden="1"/>
    </xf>
    <xf numFmtId="9" fontId="10" fillId="0" borderId="1" xfId="0" applyNumberFormat="1" applyFont="1" applyBorder="1" applyAlignment="1" applyProtection="1">
      <alignment horizontal="left" vertical="top" wrapText="1"/>
      <protection hidden="1"/>
    </xf>
    <xf numFmtId="164" fontId="10" fillId="0" borderId="1" xfId="0" applyNumberFormat="1" applyFont="1" applyBorder="1" applyAlignment="1" applyProtection="1">
      <alignment horizontal="center" vertical="top"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9" fontId="7" fillId="0" borderId="1" xfId="2" applyFont="1" applyBorder="1" applyAlignment="1">
      <alignment horizontal="center" vertical="top" wrapText="1"/>
    </xf>
    <xf numFmtId="10" fontId="7" fillId="0" borderId="1" xfId="2" applyNumberFormat="1" applyFont="1" applyBorder="1" applyAlignment="1">
      <alignment horizontal="center" vertical="top" wrapText="1"/>
    </xf>
    <xf numFmtId="9" fontId="7" fillId="0" borderId="1" xfId="0" applyNumberFormat="1" applyFont="1" applyBorder="1" applyAlignment="1" applyProtection="1">
      <alignment horizontal="right" vertical="top" wrapText="1"/>
      <protection hidden="1"/>
    </xf>
    <xf numFmtId="9" fontId="7" fillId="0" borderId="1" xfId="2" applyFont="1" applyBorder="1" applyAlignment="1">
      <alignment horizontal="right" vertical="top" wrapText="1"/>
    </xf>
    <xf numFmtId="0" fontId="7" fillId="0" borderId="0" xfId="0" applyFont="1" applyAlignment="1" applyProtection="1">
      <alignment horizontal="left" vertical="top" wrapText="1"/>
      <protection hidden="1"/>
    </xf>
    <xf numFmtId="10" fontId="11" fillId="2" borderId="1" xfId="0" applyNumberFormat="1" applyFont="1" applyFill="1" applyBorder="1" applyAlignment="1" applyProtection="1">
      <alignment horizontal="center" vertical="top" wrapText="1"/>
      <protection hidden="1"/>
    </xf>
    <xf numFmtId="10" fontId="9" fillId="2" borderId="1" xfId="2" applyNumberFormat="1" applyFont="1" applyFill="1" applyBorder="1" applyAlignment="1" applyProtection="1">
      <alignment horizontal="center" vertical="top" wrapText="1"/>
      <protection hidden="1"/>
    </xf>
    <xf numFmtId="10" fontId="13" fillId="4" borderId="1" xfId="2"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164" fontId="7" fillId="0" borderId="1" xfId="0" applyNumberFormat="1" applyFont="1" applyBorder="1" applyAlignment="1" applyProtection="1">
      <alignment horizontal="center" vertical="top" wrapText="1"/>
      <protection locked="0"/>
    </xf>
    <xf numFmtId="164" fontId="7" fillId="0" borderId="1" xfId="2" applyNumberFormat="1" applyFont="1" applyBorder="1" applyAlignment="1">
      <alignment horizontal="center" vertical="top" wrapText="1"/>
    </xf>
    <xf numFmtId="164" fontId="7" fillId="0" borderId="1" xfId="2" applyNumberFormat="1" applyFont="1" applyBorder="1" applyAlignment="1" applyProtection="1">
      <alignment horizontal="center" vertical="top" wrapText="1"/>
      <protection hidden="1"/>
    </xf>
    <xf numFmtId="0" fontId="7" fillId="0" borderId="1" xfId="0" applyFont="1" applyBorder="1" applyAlignment="1" applyProtection="1">
      <alignment horizontal="justify" vertical="top" wrapText="1"/>
      <protection hidden="1"/>
    </xf>
    <xf numFmtId="0" fontId="6"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wrapText="1"/>
      <protection hidden="1"/>
    </xf>
    <xf numFmtId="0" fontId="5" fillId="0" borderId="0" xfId="0" applyFont="1" applyFill="1" applyAlignment="1" applyProtection="1">
      <alignment horizontal="center" vertical="top" wrapText="1"/>
      <protection hidden="1"/>
    </xf>
    <xf numFmtId="0" fontId="5" fillId="0" borderId="0" xfId="0" applyFont="1" applyFill="1" applyAlignment="1" applyProtection="1">
      <alignment horizontal="justify" wrapText="1"/>
      <protection hidden="1"/>
    </xf>
    <xf numFmtId="0" fontId="5" fillId="0" borderId="0" xfId="0" applyFont="1" applyFill="1" applyAlignment="1" applyProtection="1">
      <alignment horizont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7"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C315812E-C85D-4A1D-9914-EB6DB9955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ntafe.gov.co/tabla_archivos/107-registros-publicaciones-santa-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showGridLines="0" tabSelected="1" topLeftCell="A7" zoomScale="70" zoomScaleNormal="70" workbookViewId="0">
      <pane xSplit="4" ySplit="7" topLeftCell="E14" activePane="bottomRight" state="frozen"/>
      <selection activeCell="A7" sqref="A7"/>
      <selection pane="topRight" activeCell="E7" sqref="E7"/>
      <selection pane="bottomLeft" activeCell="A14" sqref="A14"/>
      <selection pane="bottomRight" activeCell="H10" sqref="H10"/>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7.42578125" style="1" customWidth="1"/>
    <col min="7" max="7" width="18.5703125" style="1" customWidth="1"/>
    <col min="8" max="8" width="28.42578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5703125" style="36" customWidth="1"/>
    <col min="23" max="24" width="16.5703125" style="36" customWidth="1"/>
    <col min="25" max="25" width="52.140625" style="57" customWidth="1"/>
    <col min="26" max="26" width="25.5703125" style="57" customWidth="1"/>
    <col min="27" max="27" width="20.28515625" style="85" customWidth="1"/>
    <col min="28" max="29" width="16.5703125" style="85" customWidth="1"/>
    <col min="30" max="30" width="52.7109375" style="1" customWidth="1"/>
    <col min="31" max="31" width="34.7109375" style="1" customWidth="1"/>
    <col min="32" max="32" width="20.28515625" style="1" hidden="1" customWidth="1"/>
    <col min="33" max="36" width="16.5703125" style="1" hidden="1" customWidth="1"/>
    <col min="37" max="37" width="18.85546875" style="1" hidden="1" customWidth="1"/>
    <col min="38" max="41" width="16.5703125" style="1" hidden="1" customWidth="1"/>
    <col min="42" max="43" width="16.5703125" style="36" customWidth="1"/>
    <col min="44" max="44" width="17.42578125" style="36" customWidth="1"/>
    <col min="45" max="45" width="42.42578125" style="57" customWidth="1"/>
    <col min="46" max="16384" width="10.85546875" style="1"/>
  </cols>
  <sheetData>
    <row r="1" spans="1:45" ht="70.5" customHeight="1" x14ac:dyDescent="0.25">
      <c r="A1" s="134" t="s">
        <v>0</v>
      </c>
      <c r="B1" s="135"/>
      <c r="C1" s="135"/>
      <c r="D1" s="135"/>
      <c r="E1" s="135"/>
      <c r="F1" s="135"/>
      <c r="G1" s="135"/>
      <c r="H1" s="135"/>
      <c r="I1" s="135"/>
      <c r="J1" s="135"/>
      <c r="K1" s="135"/>
      <c r="L1" s="136" t="s">
        <v>1</v>
      </c>
      <c r="M1" s="136"/>
      <c r="N1" s="136"/>
      <c r="O1" s="136"/>
      <c r="P1" s="136"/>
    </row>
    <row r="2" spans="1:45" s="2" customFormat="1" ht="23.45" customHeight="1" x14ac:dyDescent="0.25">
      <c r="A2" s="137" t="s">
        <v>2</v>
      </c>
      <c r="B2" s="138"/>
      <c r="C2" s="138"/>
      <c r="D2" s="138"/>
      <c r="E2" s="138"/>
      <c r="F2" s="138"/>
      <c r="G2" s="138"/>
      <c r="H2" s="138"/>
      <c r="I2" s="138"/>
      <c r="J2" s="138"/>
      <c r="K2" s="138"/>
      <c r="L2" s="138"/>
      <c r="M2" s="138"/>
      <c r="N2" s="138"/>
      <c r="O2" s="138"/>
      <c r="P2" s="138"/>
      <c r="V2" s="36"/>
      <c r="W2" s="36"/>
      <c r="X2" s="36"/>
      <c r="Y2" s="58"/>
      <c r="Z2" s="58"/>
      <c r="AA2" s="86"/>
      <c r="AB2" s="86"/>
      <c r="AC2" s="86"/>
      <c r="AP2" s="36"/>
      <c r="AQ2" s="36"/>
      <c r="AR2" s="36"/>
      <c r="AS2" s="58"/>
    </row>
    <row r="3" spans="1:45" x14ac:dyDescent="0.25"/>
    <row r="4" spans="1:45" ht="29.1" customHeight="1" x14ac:dyDescent="0.25">
      <c r="A4" s="125" t="s">
        <v>3</v>
      </c>
      <c r="B4" s="125"/>
      <c r="C4" s="136" t="s">
        <v>4</v>
      </c>
      <c r="D4" s="136"/>
      <c r="F4" s="125" t="s">
        <v>5</v>
      </c>
      <c r="G4" s="125"/>
      <c r="H4" s="125"/>
      <c r="I4" s="125"/>
      <c r="J4" s="125"/>
      <c r="K4" s="125"/>
    </row>
    <row r="5" spans="1:45" x14ac:dyDescent="0.25">
      <c r="A5" s="125"/>
      <c r="B5" s="125"/>
      <c r="C5" s="136"/>
      <c r="D5" s="136"/>
      <c r="F5" s="3" t="s">
        <v>6</v>
      </c>
      <c r="G5" s="3" t="s">
        <v>7</v>
      </c>
      <c r="H5" s="126" t="s">
        <v>8</v>
      </c>
      <c r="I5" s="126"/>
      <c r="J5" s="126"/>
      <c r="K5" s="126"/>
    </row>
    <row r="6" spans="1:45" ht="30" x14ac:dyDescent="0.25">
      <c r="A6" s="125"/>
      <c r="B6" s="125"/>
      <c r="C6" s="136"/>
      <c r="D6" s="136"/>
      <c r="F6" s="77">
        <v>1</v>
      </c>
      <c r="G6" s="77" t="s">
        <v>9</v>
      </c>
      <c r="H6" s="127" t="s">
        <v>10</v>
      </c>
      <c r="I6" s="127"/>
      <c r="J6" s="127"/>
      <c r="K6" s="127"/>
    </row>
    <row r="7" spans="1:45" ht="138" customHeight="1" x14ac:dyDescent="0.25">
      <c r="A7" s="125"/>
      <c r="B7" s="125"/>
      <c r="C7" s="136"/>
      <c r="D7" s="136"/>
      <c r="F7" s="77">
        <v>2</v>
      </c>
      <c r="G7" s="77" t="s">
        <v>11</v>
      </c>
      <c r="H7" s="128" t="s">
        <v>12</v>
      </c>
      <c r="I7" s="128"/>
      <c r="J7" s="128"/>
      <c r="K7" s="128"/>
    </row>
    <row r="8" spans="1:45" ht="75.75" customHeight="1" x14ac:dyDescent="0.25">
      <c r="A8" s="125"/>
      <c r="B8" s="125"/>
      <c r="C8" s="136"/>
      <c r="D8" s="136"/>
      <c r="F8" s="79">
        <v>3</v>
      </c>
      <c r="G8" s="79" t="s">
        <v>228</v>
      </c>
      <c r="H8" s="129" t="s">
        <v>274</v>
      </c>
      <c r="I8" s="129"/>
      <c r="J8" s="129"/>
      <c r="K8" s="129"/>
    </row>
    <row r="9" spans="1:45" s="117" customFormat="1" ht="57" customHeight="1" x14ac:dyDescent="0.25">
      <c r="A9" s="115"/>
      <c r="B9" s="115"/>
      <c r="C9" s="116"/>
      <c r="D9" s="116"/>
      <c r="F9" s="110">
        <v>4</v>
      </c>
      <c r="G9" s="110" t="s">
        <v>280</v>
      </c>
      <c r="H9" s="129" t="s">
        <v>282</v>
      </c>
      <c r="I9" s="129"/>
      <c r="J9" s="129"/>
      <c r="K9" s="129"/>
      <c r="V9" s="118"/>
      <c r="W9" s="118"/>
      <c r="X9" s="118"/>
      <c r="Y9" s="119"/>
      <c r="Z9" s="119"/>
      <c r="AA9" s="120"/>
      <c r="AB9" s="120"/>
      <c r="AC9" s="120"/>
      <c r="AP9" s="118"/>
      <c r="AQ9" s="118"/>
      <c r="AR9" s="118"/>
      <c r="AS9" s="119"/>
    </row>
    <row r="10" spans="1:45" x14ac:dyDescent="0.25"/>
    <row r="11" spans="1:45" ht="14.45" customHeight="1" x14ac:dyDescent="0.25">
      <c r="A11" s="125" t="s">
        <v>13</v>
      </c>
      <c r="B11" s="125"/>
      <c r="C11" s="125" t="s">
        <v>14</v>
      </c>
      <c r="D11" s="125" t="s">
        <v>15</v>
      </c>
      <c r="E11" s="125"/>
      <c r="F11" s="125"/>
      <c r="G11" s="125"/>
      <c r="H11" s="125"/>
      <c r="I11" s="125"/>
      <c r="J11" s="125"/>
      <c r="K11" s="125"/>
      <c r="L11" s="125"/>
      <c r="M11" s="125"/>
      <c r="N11" s="125"/>
      <c r="O11" s="125"/>
      <c r="P11" s="125"/>
      <c r="Q11" s="130" t="s">
        <v>16</v>
      </c>
      <c r="R11" s="130"/>
      <c r="S11" s="130"/>
      <c r="T11" s="130"/>
      <c r="U11" s="130"/>
      <c r="V11" s="124" t="s">
        <v>17</v>
      </c>
      <c r="W11" s="124"/>
      <c r="X11" s="124"/>
      <c r="Y11" s="124"/>
      <c r="Z11" s="124"/>
      <c r="AA11" s="131" t="s">
        <v>17</v>
      </c>
      <c r="AB11" s="131"/>
      <c r="AC11" s="131"/>
      <c r="AD11" s="131"/>
      <c r="AE11" s="131"/>
      <c r="AF11" s="132" t="s">
        <v>17</v>
      </c>
      <c r="AG11" s="132"/>
      <c r="AH11" s="132"/>
      <c r="AI11" s="132"/>
      <c r="AJ11" s="132"/>
      <c r="AK11" s="133" t="s">
        <v>17</v>
      </c>
      <c r="AL11" s="133"/>
      <c r="AM11" s="133"/>
      <c r="AN11" s="133"/>
      <c r="AO11" s="133"/>
      <c r="AP11" s="121" t="s">
        <v>18</v>
      </c>
      <c r="AQ11" s="122"/>
      <c r="AR11" s="122"/>
      <c r="AS11" s="123"/>
    </row>
    <row r="12" spans="1:45" ht="14.45" customHeight="1" x14ac:dyDescent="0.25">
      <c r="A12" s="125"/>
      <c r="B12" s="125"/>
      <c r="C12" s="125"/>
      <c r="D12" s="125"/>
      <c r="E12" s="125"/>
      <c r="F12" s="125"/>
      <c r="G12" s="125"/>
      <c r="H12" s="125"/>
      <c r="I12" s="125"/>
      <c r="J12" s="125"/>
      <c r="K12" s="125"/>
      <c r="L12" s="125"/>
      <c r="M12" s="125"/>
      <c r="N12" s="125"/>
      <c r="O12" s="125"/>
      <c r="P12" s="125"/>
      <c r="Q12" s="130"/>
      <c r="R12" s="130"/>
      <c r="S12" s="130"/>
      <c r="T12" s="130"/>
      <c r="U12" s="130"/>
      <c r="V12" s="124" t="s">
        <v>19</v>
      </c>
      <c r="W12" s="124"/>
      <c r="X12" s="124"/>
      <c r="Y12" s="124"/>
      <c r="Z12" s="124"/>
      <c r="AA12" s="131" t="s">
        <v>20</v>
      </c>
      <c r="AB12" s="131"/>
      <c r="AC12" s="131"/>
      <c r="AD12" s="131"/>
      <c r="AE12" s="131"/>
      <c r="AF12" s="132" t="s">
        <v>21</v>
      </c>
      <c r="AG12" s="132"/>
      <c r="AH12" s="132"/>
      <c r="AI12" s="132"/>
      <c r="AJ12" s="132"/>
      <c r="AK12" s="133" t="s">
        <v>22</v>
      </c>
      <c r="AL12" s="133"/>
      <c r="AM12" s="133"/>
      <c r="AN12" s="133"/>
      <c r="AO12" s="133"/>
      <c r="AP12" s="121" t="s">
        <v>23</v>
      </c>
      <c r="AQ12" s="122"/>
      <c r="AR12" s="122"/>
      <c r="AS12" s="123"/>
    </row>
    <row r="13" spans="1:45" ht="60" x14ac:dyDescent="0.25">
      <c r="A13" s="72" t="s">
        <v>24</v>
      </c>
      <c r="B13" s="72" t="s">
        <v>25</v>
      </c>
      <c r="C13" s="125"/>
      <c r="D13" s="72" t="s">
        <v>26</v>
      </c>
      <c r="E13" s="72" t="s">
        <v>27</v>
      </c>
      <c r="F13" s="72" t="s">
        <v>28</v>
      </c>
      <c r="G13" s="72" t="s">
        <v>29</v>
      </c>
      <c r="H13" s="72" t="s">
        <v>30</v>
      </c>
      <c r="I13" s="72" t="s">
        <v>31</v>
      </c>
      <c r="J13" s="72" t="s">
        <v>32</v>
      </c>
      <c r="K13" s="72" t="s">
        <v>33</v>
      </c>
      <c r="L13" s="72" t="s">
        <v>34</v>
      </c>
      <c r="M13" s="72" t="s">
        <v>35</v>
      </c>
      <c r="N13" s="72" t="s">
        <v>36</v>
      </c>
      <c r="O13" s="72" t="s">
        <v>37</v>
      </c>
      <c r="P13" s="72" t="s">
        <v>38</v>
      </c>
      <c r="Q13" s="73" t="s">
        <v>39</v>
      </c>
      <c r="R13" s="73" t="s">
        <v>40</v>
      </c>
      <c r="S13" s="73" t="s">
        <v>41</v>
      </c>
      <c r="T13" s="73" t="s">
        <v>42</v>
      </c>
      <c r="U13" s="73" t="s">
        <v>43</v>
      </c>
      <c r="V13" s="71" t="s">
        <v>44</v>
      </c>
      <c r="W13" s="71" t="s">
        <v>45</v>
      </c>
      <c r="X13" s="71" t="s">
        <v>46</v>
      </c>
      <c r="Y13" s="59" t="s">
        <v>47</v>
      </c>
      <c r="Z13" s="59" t="s">
        <v>48</v>
      </c>
      <c r="AA13" s="81" t="s">
        <v>44</v>
      </c>
      <c r="AB13" s="81" t="s">
        <v>45</v>
      </c>
      <c r="AC13" s="81" t="s">
        <v>46</v>
      </c>
      <c r="AD13" s="74" t="s">
        <v>47</v>
      </c>
      <c r="AE13" s="74" t="s">
        <v>48</v>
      </c>
      <c r="AF13" s="75" t="s">
        <v>44</v>
      </c>
      <c r="AG13" s="75" t="s">
        <v>45</v>
      </c>
      <c r="AH13" s="75" t="s">
        <v>46</v>
      </c>
      <c r="AI13" s="75" t="s">
        <v>47</v>
      </c>
      <c r="AJ13" s="75" t="s">
        <v>48</v>
      </c>
      <c r="AK13" s="76" t="s">
        <v>44</v>
      </c>
      <c r="AL13" s="76" t="s">
        <v>45</v>
      </c>
      <c r="AM13" s="76" t="s">
        <v>46</v>
      </c>
      <c r="AN13" s="76" t="s">
        <v>47</v>
      </c>
      <c r="AO13" s="76" t="s">
        <v>48</v>
      </c>
      <c r="AP13" s="29" t="s">
        <v>44</v>
      </c>
      <c r="AQ13" s="29" t="s">
        <v>45</v>
      </c>
      <c r="AR13" s="29" t="s">
        <v>46</v>
      </c>
      <c r="AS13" s="66" t="s">
        <v>49</v>
      </c>
    </row>
    <row r="14" spans="1:45" s="30" customFormat="1" ht="255" x14ac:dyDescent="0.25">
      <c r="A14" s="78">
        <v>4</v>
      </c>
      <c r="B14" s="78" t="s">
        <v>50</v>
      </c>
      <c r="C14" s="78" t="s">
        <v>51</v>
      </c>
      <c r="D14" s="78" t="s">
        <v>52</v>
      </c>
      <c r="E14" s="4">
        <f t="shared" ref="E14:E31" si="0">+(5.55555555555556%*80%)/100%</f>
        <v>4.4444444444444481E-2</v>
      </c>
      <c r="F14" s="78" t="s">
        <v>53</v>
      </c>
      <c r="G14" s="78" t="s">
        <v>54</v>
      </c>
      <c r="H14" s="78" t="s">
        <v>55</v>
      </c>
      <c r="I14" s="5">
        <v>6.6000000000000003E-2</v>
      </c>
      <c r="J14" s="78" t="s">
        <v>56</v>
      </c>
      <c r="K14" s="78" t="s">
        <v>57</v>
      </c>
      <c r="L14" s="6">
        <v>0</v>
      </c>
      <c r="M14" s="6">
        <v>0.02</v>
      </c>
      <c r="N14" s="6">
        <v>0.06</v>
      </c>
      <c r="O14" s="6">
        <v>0.1</v>
      </c>
      <c r="P14" s="6">
        <v>0.1</v>
      </c>
      <c r="Q14" s="78" t="s">
        <v>58</v>
      </c>
      <c r="R14" s="78" t="s">
        <v>59</v>
      </c>
      <c r="S14" s="78" t="s">
        <v>60</v>
      </c>
      <c r="T14" s="78" t="s">
        <v>61</v>
      </c>
      <c r="U14" s="78" t="s">
        <v>62</v>
      </c>
      <c r="V14" s="37" t="s">
        <v>63</v>
      </c>
      <c r="W14" s="37" t="s">
        <v>63</v>
      </c>
      <c r="X14" s="37" t="s">
        <v>63</v>
      </c>
      <c r="Y14" s="60" t="s">
        <v>64</v>
      </c>
      <c r="Z14" s="60" t="s">
        <v>63</v>
      </c>
      <c r="AA14" s="84">
        <v>1.0999999999999999E-2</v>
      </c>
      <c r="AB14" s="87">
        <v>1.0999999999999999E-2</v>
      </c>
      <c r="AC14" s="69">
        <f>IF(AB14/AA14&gt;100%,100%,AB14/AA14)</f>
        <v>1</v>
      </c>
      <c r="AD14" s="83" t="s">
        <v>230</v>
      </c>
      <c r="AE14" s="83" t="s">
        <v>229</v>
      </c>
      <c r="AF14" s="28">
        <f>N14</f>
        <v>0.06</v>
      </c>
      <c r="AG14" s="68"/>
      <c r="AH14" s="69">
        <f>IF(AG14/AF14&gt;100%,100%,AG14/AF14)</f>
        <v>0</v>
      </c>
      <c r="AI14" s="78"/>
      <c r="AJ14" s="78"/>
      <c r="AK14" s="28">
        <f>O14</f>
        <v>0.1</v>
      </c>
      <c r="AL14" s="68"/>
      <c r="AM14" s="69">
        <f>IF(AL14/AK14&gt;100%,100%,AL14/AK14)</f>
        <v>0</v>
      </c>
      <c r="AN14" s="78"/>
      <c r="AO14" s="78"/>
      <c r="AP14" s="37">
        <f>P14</f>
        <v>0.1</v>
      </c>
      <c r="AQ14" s="84">
        <v>1.0999999999999999E-2</v>
      </c>
      <c r="AR14" s="69">
        <f>IF(AQ14/AP14&gt;100%,100%,AQ14/AP14)</f>
        <v>0.10999999999999999</v>
      </c>
      <c r="AS14" s="83" t="s">
        <v>231</v>
      </c>
    </row>
    <row r="15" spans="1:45" s="30" customFormat="1" ht="90" x14ac:dyDescent="0.25">
      <c r="A15" s="78">
        <v>4</v>
      </c>
      <c r="B15" s="78" t="s">
        <v>50</v>
      </c>
      <c r="C15" s="78" t="s">
        <v>51</v>
      </c>
      <c r="D15" s="78" t="s">
        <v>65</v>
      </c>
      <c r="E15" s="4">
        <f t="shared" si="0"/>
        <v>4.4444444444444481E-2</v>
      </c>
      <c r="F15" s="78" t="s">
        <v>53</v>
      </c>
      <c r="G15" s="78" t="s">
        <v>66</v>
      </c>
      <c r="H15" s="78" t="s">
        <v>67</v>
      </c>
      <c r="I15" s="78" t="s">
        <v>68</v>
      </c>
      <c r="J15" s="78" t="s">
        <v>69</v>
      </c>
      <c r="K15" s="78" t="s">
        <v>57</v>
      </c>
      <c r="L15" s="6">
        <v>0</v>
      </c>
      <c r="M15" s="6">
        <v>0</v>
      </c>
      <c r="N15" s="6">
        <v>0</v>
      </c>
      <c r="O15" s="6">
        <v>0.15</v>
      </c>
      <c r="P15" s="6">
        <v>0.15</v>
      </c>
      <c r="Q15" s="78" t="s">
        <v>58</v>
      </c>
      <c r="R15" s="78" t="s">
        <v>70</v>
      </c>
      <c r="S15" s="78" t="s">
        <v>71</v>
      </c>
      <c r="T15" s="78" t="s">
        <v>61</v>
      </c>
      <c r="U15" s="78" t="s">
        <v>72</v>
      </c>
      <c r="V15" s="37" t="s">
        <v>63</v>
      </c>
      <c r="W15" s="37" t="s">
        <v>63</v>
      </c>
      <c r="X15" s="37" t="s">
        <v>63</v>
      </c>
      <c r="Y15" s="60" t="s">
        <v>64</v>
      </c>
      <c r="Z15" s="60" t="s">
        <v>63</v>
      </c>
      <c r="AA15" s="37" t="s">
        <v>281</v>
      </c>
      <c r="AB15" s="88">
        <v>0</v>
      </c>
      <c r="AC15" s="69" t="s">
        <v>63</v>
      </c>
      <c r="AD15" s="60" t="s">
        <v>73</v>
      </c>
      <c r="AE15" s="78" t="s">
        <v>63</v>
      </c>
      <c r="AF15" s="28">
        <f t="shared" ref="AF15:AF37" si="1">N15</f>
        <v>0</v>
      </c>
      <c r="AG15" s="68">
        <v>0</v>
      </c>
      <c r="AH15" s="69" t="e">
        <f>IF(AG15/AF15&gt;100%,100%,AG15/AF15)</f>
        <v>#DIV/0!</v>
      </c>
      <c r="AI15" s="78"/>
      <c r="AJ15" s="78"/>
      <c r="AK15" s="28">
        <f t="shared" ref="AK15:AK37" si="2">O15</f>
        <v>0.15</v>
      </c>
      <c r="AL15" s="68">
        <v>0</v>
      </c>
      <c r="AM15" s="69">
        <f>IF(AL15/AK15&gt;100%,100%,AL15/AK15)</f>
        <v>0</v>
      </c>
      <c r="AN15" s="78"/>
      <c r="AO15" s="78"/>
      <c r="AP15" s="37">
        <f t="shared" ref="AP15:AP37" si="3">P15</f>
        <v>0.15</v>
      </c>
      <c r="AQ15" s="37">
        <v>0</v>
      </c>
      <c r="AR15" s="69">
        <f>IF(AQ15/AP15&gt;100%,100%,AQ15/AP15)</f>
        <v>0</v>
      </c>
      <c r="AS15" s="60" t="s">
        <v>73</v>
      </c>
    </row>
    <row r="16" spans="1:45" s="106" customFormat="1" ht="206.25" customHeight="1" x14ac:dyDescent="0.25">
      <c r="A16" s="8">
        <v>4</v>
      </c>
      <c r="B16" s="8" t="s">
        <v>50</v>
      </c>
      <c r="C16" s="8" t="s">
        <v>51</v>
      </c>
      <c r="D16" s="8" t="s">
        <v>271</v>
      </c>
      <c r="E16" s="97">
        <f t="shared" si="0"/>
        <v>4.4444444444444481E-2</v>
      </c>
      <c r="F16" s="8" t="s">
        <v>74</v>
      </c>
      <c r="G16" s="8" t="s">
        <v>75</v>
      </c>
      <c r="H16" s="8" t="s">
        <v>76</v>
      </c>
      <c r="I16" s="8" t="s">
        <v>68</v>
      </c>
      <c r="J16" s="8" t="s">
        <v>56</v>
      </c>
      <c r="K16" s="8" t="s">
        <v>57</v>
      </c>
      <c r="L16" s="98">
        <v>0.05</v>
      </c>
      <c r="M16" s="98">
        <v>0.4</v>
      </c>
      <c r="N16" s="98">
        <v>0.8</v>
      </c>
      <c r="O16" s="98">
        <v>1</v>
      </c>
      <c r="P16" s="98">
        <v>1</v>
      </c>
      <c r="Q16" s="8" t="s">
        <v>58</v>
      </c>
      <c r="R16" s="8" t="s">
        <v>77</v>
      </c>
      <c r="S16" s="8" t="s">
        <v>78</v>
      </c>
      <c r="T16" s="8" t="s">
        <v>61</v>
      </c>
      <c r="U16" s="8" t="s">
        <v>79</v>
      </c>
      <c r="V16" s="99">
        <f t="shared" ref="V16:V31" si="4">L16</f>
        <v>0.05</v>
      </c>
      <c r="W16" s="100">
        <v>0</v>
      </c>
      <c r="X16" s="100">
        <v>0</v>
      </c>
      <c r="Y16" s="101" t="s">
        <v>80</v>
      </c>
      <c r="Z16" s="101" t="s">
        <v>81</v>
      </c>
      <c r="AA16" s="99">
        <f t="shared" ref="AA15:AA31" si="5">M16</f>
        <v>0.4</v>
      </c>
      <c r="AB16" s="102">
        <f>13/59</f>
        <v>0.22033898305084745</v>
      </c>
      <c r="AC16" s="103">
        <f t="shared" ref="AC16" si="6">IF(AB16/AA16&gt;100%,100%,AB16/AA16)</f>
        <v>0.55084745762711862</v>
      </c>
      <c r="AD16" s="8" t="s">
        <v>270</v>
      </c>
      <c r="AE16" s="8" t="s">
        <v>272</v>
      </c>
      <c r="AF16" s="104">
        <f t="shared" si="1"/>
        <v>0.8</v>
      </c>
      <c r="AG16" s="105"/>
      <c r="AH16" s="103">
        <f t="shared" ref="AH16:AH30" si="7">IF(AG16/AF16&gt;100%,100%,AG16/AF16)</f>
        <v>0</v>
      </c>
      <c r="AI16" s="8"/>
      <c r="AJ16" s="8"/>
      <c r="AK16" s="104">
        <f t="shared" si="2"/>
        <v>1</v>
      </c>
      <c r="AL16" s="105"/>
      <c r="AM16" s="103">
        <f t="shared" ref="AM16:AM30" si="8">IF(AL16/AK16&gt;100%,100%,AL16/AK16)</f>
        <v>0</v>
      </c>
      <c r="AN16" s="8"/>
      <c r="AO16" s="8"/>
      <c r="AP16" s="99">
        <f t="shared" si="3"/>
        <v>1</v>
      </c>
      <c r="AQ16" s="99">
        <v>0.22</v>
      </c>
      <c r="AR16" s="69">
        <f>IF(AQ16/AP16&gt;100%,100%,AQ16/AP16)</f>
        <v>0.22</v>
      </c>
      <c r="AS16" s="8" t="s">
        <v>270</v>
      </c>
    </row>
    <row r="17" spans="1:45" s="30" customFormat="1" ht="170.25" customHeight="1" x14ac:dyDescent="0.25">
      <c r="A17" s="78">
        <v>4</v>
      </c>
      <c r="B17" s="78" t="s">
        <v>50</v>
      </c>
      <c r="C17" s="78" t="s">
        <v>82</v>
      </c>
      <c r="D17" s="78" t="s">
        <v>83</v>
      </c>
      <c r="E17" s="4">
        <f t="shared" si="0"/>
        <v>4.4444444444444481E-2</v>
      </c>
      <c r="F17" s="78" t="s">
        <v>53</v>
      </c>
      <c r="G17" s="78" t="s">
        <v>84</v>
      </c>
      <c r="H17" s="78" t="s">
        <v>85</v>
      </c>
      <c r="I17" s="6">
        <v>0.5</v>
      </c>
      <c r="J17" s="78" t="s">
        <v>56</v>
      </c>
      <c r="K17" s="78" t="s">
        <v>57</v>
      </c>
      <c r="L17" s="6">
        <v>0.15</v>
      </c>
      <c r="M17" s="6">
        <v>0.3</v>
      </c>
      <c r="N17" s="7">
        <v>0.45</v>
      </c>
      <c r="O17" s="7">
        <v>0.6</v>
      </c>
      <c r="P17" s="6">
        <v>0.6</v>
      </c>
      <c r="Q17" s="78" t="s">
        <v>86</v>
      </c>
      <c r="R17" s="78" t="s">
        <v>87</v>
      </c>
      <c r="S17" s="78" t="s">
        <v>88</v>
      </c>
      <c r="T17" s="78" t="s">
        <v>61</v>
      </c>
      <c r="U17" s="78" t="s">
        <v>89</v>
      </c>
      <c r="V17" s="37">
        <f t="shared" si="4"/>
        <v>0.15</v>
      </c>
      <c r="W17" s="38">
        <v>0.21479999999999999</v>
      </c>
      <c r="X17" s="35">
        <v>1</v>
      </c>
      <c r="Y17" s="61" t="s">
        <v>90</v>
      </c>
      <c r="Z17" s="61" t="s">
        <v>91</v>
      </c>
      <c r="AA17" s="37">
        <f t="shared" si="5"/>
        <v>0.3</v>
      </c>
      <c r="AB17" s="89" t="s">
        <v>92</v>
      </c>
      <c r="AC17" s="69">
        <v>1</v>
      </c>
      <c r="AD17" s="61" t="s">
        <v>232</v>
      </c>
      <c r="AE17" s="61" t="s">
        <v>91</v>
      </c>
      <c r="AF17" s="28">
        <f t="shared" si="1"/>
        <v>0.45</v>
      </c>
      <c r="AG17" s="68"/>
      <c r="AH17" s="69">
        <f t="shared" si="7"/>
        <v>0</v>
      </c>
      <c r="AI17" s="78"/>
      <c r="AJ17" s="78"/>
      <c r="AK17" s="28">
        <f t="shared" si="2"/>
        <v>0.6</v>
      </c>
      <c r="AL17" s="68"/>
      <c r="AM17" s="69">
        <f t="shared" si="8"/>
        <v>0</v>
      </c>
      <c r="AN17" s="78"/>
      <c r="AO17" s="78"/>
      <c r="AP17" s="37">
        <f t="shared" si="3"/>
        <v>0.6</v>
      </c>
      <c r="AQ17" s="53">
        <v>0.374</v>
      </c>
      <c r="AR17" s="69">
        <f t="shared" ref="AR17:AR23" si="9">AQ17/AP17</f>
        <v>0.62333333333333341</v>
      </c>
      <c r="AS17" s="61" t="s">
        <v>233</v>
      </c>
    </row>
    <row r="18" spans="1:45" s="30" customFormat="1" ht="165.75" customHeight="1" x14ac:dyDescent="0.25">
      <c r="A18" s="78">
        <v>4</v>
      </c>
      <c r="B18" s="78" t="s">
        <v>50</v>
      </c>
      <c r="C18" s="78" t="s">
        <v>82</v>
      </c>
      <c r="D18" s="78" t="s">
        <v>93</v>
      </c>
      <c r="E18" s="4">
        <f t="shared" si="0"/>
        <v>4.4444444444444481E-2</v>
      </c>
      <c r="F18" s="78" t="s">
        <v>53</v>
      </c>
      <c r="G18" s="78" t="s">
        <v>94</v>
      </c>
      <c r="H18" s="78" t="s">
        <v>95</v>
      </c>
      <c r="I18" s="6">
        <v>0.6</v>
      </c>
      <c r="J18" s="78" t="s">
        <v>56</v>
      </c>
      <c r="K18" s="78" t="s">
        <v>57</v>
      </c>
      <c r="L18" s="6">
        <v>0.15</v>
      </c>
      <c r="M18" s="6">
        <v>0.3</v>
      </c>
      <c r="N18" s="7">
        <v>0.45</v>
      </c>
      <c r="O18" s="7">
        <v>0.6</v>
      </c>
      <c r="P18" s="6">
        <v>0.6</v>
      </c>
      <c r="Q18" s="78" t="s">
        <v>86</v>
      </c>
      <c r="R18" s="78" t="s">
        <v>87</v>
      </c>
      <c r="S18" s="78" t="s">
        <v>88</v>
      </c>
      <c r="T18" s="78" t="s">
        <v>61</v>
      </c>
      <c r="U18" s="78" t="s">
        <v>89</v>
      </c>
      <c r="V18" s="37">
        <f t="shared" si="4"/>
        <v>0.15</v>
      </c>
      <c r="W18" s="38">
        <v>0.1011</v>
      </c>
      <c r="X18" s="35">
        <f>W18/V18</f>
        <v>0.67400000000000004</v>
      </c>
      <c r="Y18" s="61" t="s">
        <v>96</v>
      </c>
      <c r="Z18" s="61" t="s">
        <v>97</v>
      </c>
      <c r="AA18" s="37">
        <f t="shared" si="5"/>
        <v>0.3</v>
      </c>
      <c r="AB18" s="69">
        <v>0.13450000000000001</v>
      </c>
      <c r="AC18" s="69">
        <f t="shared" ref="AC18:AC30" si="10">IF(AB18/AA18&gt;100%,100%,AB18/AA18)</f>
        <v>0.44833333333333336</v>
      </c>
      <c r="AD18" s="78" t="s">
        <v>235</v>
      </c>
      <c r="AE18" s="61" t="s">
        <v>234</v>
      </c>
      <c r="AF18" s="28">
        <f t="shared" si="1"/>
        <v>0.45</v>
      </c>
      <c r="AG18" s="68"/>
      <c r="AH18" s="69">
        <f t="shared" si="7"/>
        <v>0</v>
      </c>
      <c r="AI18" s="78"/>
      <c r="AJ18" s="78"/>
      <c r="AK18" s="28">
        <f t="shared" si="2"/>
        <v>0.6</v>
      </c>
      <c r="AL18" s="68"/>
      <c r="AM18" s="69">
        <f t="shared" si="8"/>
        <v>0</v>
      </c>
      <c r="AN18" s="78"/>
      <c r="AO18" s="78"/>
      <c r="AP18" s="37">
        <f t="shared" si="3"/>
        <v>0.6</v>
      </c>
      <c r="AQ18" s="53">
        <v>0.13450000000000001</v>
      </c>
      <c r="AR18" s="69">
        <f t="shared" si="9"/>
        <v>0.22416666666666668</v>
      </c>
      <c r="AS18" s="80" t="s">
        <v>236</v>
      </c>
    </row>
    <row r="19" spans="1:45" s="30" customFormat="1" ht="170.25" customHeight="1" x14ac:dyDescent="0.25">
      <c r="A19" s="78">
        <v>4</v>
      </c>
      <c r="B19" s="78" t="s">
        <v>50</v>
      </c>
      <c r="C19" s="78" t="s">
        <v>82</v>
      </c>
      <c r="D19" s="78" t="s">
        <v>98</v>
      </c>
      <c r="E19" s="4">
        <f t="shared" si="0"/>
        <v>4.4444444444444481E-2</v>
      </c>
      <c r="F19" s="78" t="s">
        <v>74</v>
      </c>
      <c r="G19" s="78" t="s">
        <v>99</v>
      </c>
      <c r="H19" s="78" t="s">
        <v>100</v>
      </c>
      <c r="I19" s="78"/>
      <c r="J19" s="78" t="s">
        <v>56</v>
      </c>
      <c r="K19" s="78" t="s">
        <v>57</v>
      </c>
      <c r="L19" s="6">
        <v>0.1</v>
      </c>
      <c r="M19" s="6">
        <v>0.25</v>
      </c>
      <c r="N19" s="6">
        <v>0.6</v>
      </c>
      <c r="O19" s="6">
        <v>0.95</v>
      </c>
      <c r="P19" s="6">
        <v>0.95</v>
      </c>
      <c r="Q19" s="78" t="s">
        <v>86</v>
      </c>
      <c r="R19" s="78" t="s">
        <v>87</v>
      </c>
      <c r="S19" s="78" t="s">
        <v>88</v>
      </c>
      <c r="T19" s="78" t="s">
        <v>61</v>
      </c>
      <c r="U19" s="78" t="s">
        <v>101</v>
      </c>
      <c r="V19" s="37">
        <f t="shared" si="4"/>
        <v>0.1</v>
      </c>
      <c r="W19" s="39">
        <v>0.2</v>
      </c>
      <c r="X19" s="35">
        <v>1</v>
      </c>
      <c r="Y19" s="61" t="s">
        <v>102</v>
      </c>
      <c r="Z19" s="61" t="s">
        <v>97</v>
      </c>
      <c r="AA19" s="37">
        <f t="shared" si="5"/>
        <v>0.25</v>
      </c>
      <c r="AB19" s="69">
        <v>0.38319999999999999</v>
      </c>
      <c r="AC19" s="69">
        <f t="shared" si="10"/>
        <v>1</v>
      </c>
      <c r="AD19" s="61" t="s">
        <v>237</v>
      </c>
      <c r="AE19" s="61" t="s">
        <v>238</v>
      </c>
      <c r="AF19" s="28">
        <f t="shared" si="1"/>
        <v>0.6</v>
      </c>
      <c r="AG19" s="68"/>
      <c r="AH19" s="69">
        <f t="shared" si="7"/>
        <v>0</v>
      </c>
      <c r="AI19" s="78"/>
      <c r="AJ19" s="78"/>
      <c r="AK19" s="28">
        <f t="shared" si="2"/>
        <v>0.95</v>
      </c>
      <c r="AL19" s="68"/>
      <c r="AM19" s="69">
        <f t="shared" si="8"/>
        <v>0</v>
      </c>
      <c r="AN19" s="78"/>
      <c r="AO19" s="78"/>
      <c r="AP19" s="37">
        <f t="shared" si="3"/>
        <v>0.95</v>
      </c>
      <c r="AQ19" s="53">
        <v>0.38319999999999999</v>
      </c>
      <c r="AR19" s="69">
        <f t="shared" si="9"/>
        <v>0.4033684210526316</v>
      </c>
      <c r="AS19" s="61" t="s">
        <v>237</v>
      </c>
    </row>
    <row r="20" spans="1:45" s="30" customFormat="1" ht="170.25" customHeight="1" x14ac:dyDescent="0.25">
      <c r="A20" s="78">
        <v>4</v>
      </c>
      <c r="B20" s="78" t="s">
        <v>50</v>
      </c>
      <c r="C20" s="78" t="s">
        <v>82</v>
      </c>
      <c r="D20" s="78" t="s">
        <v>103</v>
      </c>
      <c r="E20" s="4">
        <f t="shared" si="0"/>
        <v>4.4444444444444481E-2</v>
      </c>
      <c r="F20" s="78" t="s">
        <v>53</v>
      </c>
      <c r="G20" s="78" t="s">
        <v>104</v>
      </c>
      <c r="H20" s="78" t="s">
        <v>105</v>
      </c>
      <c r="I20" s="78"/>
      <c r="J20" s="78" t="s">
        <v>56</v>
      </c>
      <c r="K20" s="78" t="s">
        <v>57</v>
      </c>
      <c r="L20" s="6">
        <v>0.02</v>
      </c>
      <c r="M20" s="6">
        <v>0.1</v>
      </c>
      <c r="N20" s="6">
        <v>0.2</v>
      </c>
      <c r="O20" s="6">
        <v>0.4</v>
      </c>
      <c r="P20" s="6">
        <v>0.4</v>
      </c>
      <c r="Q20" s="78" t="s">
        <v>86</v>
      </c>
      <c r="R20" s="78" t="s">
        <v>87</v>
      </c>
      <c r="S20" s="78" t="s">
        <v>88</v>
      </c>
      <c r="T20" s="78" t="s">
        <v>61</v>
      </c>
      <c r="U20" s="78" t="s">
        <v>101</v>
      </c>
      <c r="V20" s="37">
        <f t="shared" si="4"/>
        <v>0.02</v>
      </c>
      <c r="W20" s="39">
        <v>0.06</v>
      </c>
      <c r="X20" s="35">
        <v>1</v>
      </c>
      <c r="Y20" s="61" t="s">
        <v>106</v>
      </c>
      <c r="Z20" s="61" t="s">
        <v>97</v>
      </c>
      <c r="AA20" s="37">
        <f t="shared" si="5"/>
        <v>0.1</v>
      </c>
      <c r="AB20" s="69">
        <v>0.19470000000000001</v>
      </c>
      <c r="AC20" s="69">
        <f t="shared" si="10"/>
        <v>1</v>
      </c>
      <c r="AD20" s="61" t="s">
        <v>239</v>
      </c>
      <c r="AE20" s="61" t="s">
        <v>238</v>
      </c>
      <c r="AF20" s="28">
        <f t="shared" si="1"/>
        <v>0.2</v>
      </c>
      <c r="AG20" s="68"/>
      <c r="AH20" s="69">
        <f t="shared" si="7"/>
        <v>0</v>
      </c>
      <c r="AI20" s="78"/>
      <c r="AJ20" s="78"/>
      <c r="AK20" s="28">
        <f t="shared" si="2"/>
        <v>0.4</v>
      </c>
      <c r="AL20" s="68"/>
      <c r="AM20" s="69">
        <f t="shared" si="8"/>
        <v>0</v>
      </c>
      <c r="AN20" s="78"/>
      <c r="AO20" s="78"/>
      <c r="AP20" s="37">
        <f t="shared" si="3"/>
        <v>0.4</v>
      </c>
      <c r="AQ20" s="53">
        <v>0.19470000000000001</v>
      </c>
      <c r="AR20" s="69">
        <f t="shared" si="9"/>
        <v>0.48675000000000002</v>
      </c>
      <c r="AS20" s="61" t="s">
        <v>239</v>
      </c>
    </row>
    <row r="21" spans="1:45" s="30" customFormat="1" ht="117" customHeight="1" x14ac:dyDescent="0.25">
      <c r="A21" s="78">
        <v>4</v>
      </c>
      <c r="B21" s="78" t="s">
        <v>50</v>
      </c>
      <c r="C21" s="78" t="s">
        <v>82</v>
      </c>
      <c r="D21" s="78" t="s">
        <v>107</v>
      </c>
      <c r="E21" s="4">
        <f t="shared" si="0"/>
        <v>4.4444444444444481E-2</v>
      </c>
      <c r="F21" s="78" t="s">
        <v>74</v>
      </c>
      <c r="G21" s="78" t="s">
        <v>108</v>
      </c>
      <c r="H21" s="78" t="s">
        <v>109</v>
      </c>
      <c r="I21" s="78"/>
      <c r="J21" s="78" t="s">
        <v>69</v>
      </c>
      <c r="K21" s="78" t="s">
        <v>57</v>
      </c>
      <c r="L21" s="6">
        <v>0.95</v>
      </c>
      <c r="M21" s="6">
        <v>0.95</v>
      </c>
      <c r="N21" s="6">
        <v>0.95</v>
      </c>
      <c r="O21" s="6">
        <v>0.95</v>
      </c>
      <c r="P21" s="6">
        <v>0.95</v>
      </c>
      <c r="Q21" s="78" t="s">
        <v>86</v>
      </c>
      <c r="R21" s="78" t="s">
        <v>87</v>
      </c>
      <c r="S21" s="78" t="s">
        <v>110</v>
      </c>
      <c r="T21" s="78" t="s">
        <v>61</v>
      </c>
      <c r="U21" s="8" t="s">
        <v>111</v>
      </c>
      <c r="V21" s="37">
        <f t="shared" si="4"/>
        <v>0.95</v>
      </c>
      <c r="W21" s="41">
        <v>0.79400000000000004</v>
      </c>
      <c r="X21" s="41">
        <f>W21/V21</f>
        <v>0.83578947368421064</v>
      </c>
      <c r="Y21" s="61" t="s">
        <v>112</v>
      </c>
      <c r="Z21" s="61" t="s">
        <v>113</v>
      </c>
      <c r="AA21" s="37">
        <f t="shared" si="5"/>
        <v>0.95</v>
      </c>
      <c r="AB21" s="69">
        <v>0.94550000000000001</v>
      </c>
      <c r="AC21" s="69">
        <f>IF(AB21/AA21&gt;100%,100%,AB21/AA21)</f>
        <v>0.99526315789473685</v>
      </c>
      <c r="AD21" s="61" t="s">
        <v>240</v>
      </c>
      <c r="AE21" s="83" t="s">
        <v>241</v>
      </c>
      <c r="AF21" s="28">
        <f t="shared" si="1"/>
        <v>0.95</v>
      </c>
      <c r="AG21" s="68"/>
      <c r="AH21" s="69">
        <f t="shared" si="7"/>
        <v>0</v>
      </c>
      <c r="AI21" s="78"/>
      <c r="AJ21" s="78"/>
      <c r="AK21" s="28">
        <f t="shared" si="2"/>
        <v>0.95</v>
      </c>
      <c r="AL21" s="68"/>
      <c r="AM21" s="69">
        <f t="shared" si="8"/>
        <v>0</v>
      </c>
      <c r="AN21" s="78"/>
      <c r="AO21" s="78"/>
      <c r="AP21" s="37">
        <f t="shared" si="3"/>
        <v>0.95</v>
      </c>
      <c r="AQ21" s="54">
        <f>(79.84%*25%)+(94.55%*25%)</f>
        <v>0.435975</v>
      </c>
      <c r="AR21" s="69">
        <f t="shared" si="9"/>
        <v>0.45892105263157895</v>
      </c>
      <c r="AS21" s="61" t="s">
        <v>242</v>
      </c>
    </row>
    <row r="22" spans="1:45" s="30" customFormat="1" ht="120" x14ac:dyDescent="0.25">
      <c r="A22" s="78">
        <v>4</v>
      </c>
      <c r="B22" s="78" t="s">
        <v>50</v>
      </c>
      <c r="C22" s="78" t="s">
        <v>82</v>
      </c>
      <c r="D22" s="78" t="s">
        <v>114</v>
      </c>
      <c r="E22" s="4">
        <f t="shared" si="0"/>
        <v>4.4444444444444481E-2</v>
      </c>
      <c r="F22" s="78" t="s">
        <v>53</v>
      </c>
      <c r="G22" s="78" t="s">
        <v>115</v>
      </c>
      <c r="H22" s="78" t="s">
        <v>116</v>
      </c>
      <c r="I22" s="78"/>
      <c r="J22" s="78" t="s">
        <v>69</v>
      </c>
      <c r="K22" s="78" t="s">
        <v>57</v>
      </c>
      <c r="L22" s="6">
        <v>1</v>
      </c>
      <c r="M22" s="6">
        <v>1</v>
      </c>
      <c r="N22" s="6">
        <v>1</v>
      </c>
      <c r="O22" s="6">
        <v>1</v>
      </c>
      <c r="P22" s="6">
        <v>1</v>
      </c>
      <c r="Q22" s="78" t="s">
        <v>86</v>
      </c>
      <c r="R22" s="8" t="s">
        <v>87</v>
      </c>
      <c r="S22" s="8" t="s">
        <v>117</v>
      </c>
      <c r="T22" s="8" t="s">
        <v>61</v>
      </c>
      <c r="U22" s="8" t="s">
        <v>118</v>
      </c>
      <c r="V22" s="37">
        <f t="shared" si="4"/>
        <v>1</v>
      </c>
      <c r="W22" s="41">
        <v>0.67500000000000004</v>
      </c>
      <c r="X22" s="41">
        <f>W22/V22</f>
        <v>0.67500000000000004</v>
      </c>
      <c r="Y22" s="61" t="s">
        <v>119</v>
      </c>
      <c r="Z22" s="61" t="s">
        <v>113</v>
      </c>
      <c r="AA22" s="37">
        <f t="shared" si="5"/>
        <v>1</v>
      </c>
      <c r="AB22" s="69">
        <v>0.97089999999999999</v>
      </c>
      <c r="AC22" s="69">
        <f t="shared" si="10"/>
        <v>0.97089999999999999</v>
      </c>
      <c r="AD22" s="61" t="s">
        <v>243</v>
      </c>
      <c r="AE22" s="61" t="s">
        <v>113</v>
      </c>
      <c r="AF22" s="28">
        <f t="shared" si="1"/>
        <v>1</v>
      </c>
      <c r="AG22" s="68"/>
      <c r="AH22" s="69">
        <f t="shared" si="7"/>
        <v>0</v>
      </c>
      <c r="AI22" s="78"/>
      <c r="AJ22" s="78"/>
      <c r="AK22" s="28">
        <f t="shared" si="2"/>
        <v>1</v>
      </c>
      <c r="AL22" s="68"/>
      <c r="AM22" s="69">
        <f t="shared" si="8"/>
        <v>0</v>
      </c>
      <c r="AN22" s="78"/>
      <c r="AO22" s="78"/>
      <c r="AP22" s="37">
        <f t="shared" si="3"/>
        <v>1</v>
      </c>
      <c r="AQ22" s="55">
        <f>(67.5%*25%)+(97.09%*25%)</f>
        <v>0.41147500000000004</v>
      </c>
      <c r="AR22" s="69">
        <f t="shared" si="9"/>
        <v>0.41147500000000004</v>
      </c>
      <c r="AS22" s="61" t="s">
        <v>278</v>
      </c>
    </row>
    <row r="23" spans="1:45" s="106" customFormat="1" ht="105" x14ac:dyDescent="0.25">
      <c r="A23" s="8">
        <v>4</v>
      </c>
      <c r="B23" s="8" t="s">
        <v>50</v>
      </c>
      <c r="C23" s="8" t="s">
        <v>82</v>
      </c>
      <c r="D23" s="8" t="s">
        <v>277</v>
      </c>
      <c r="E23" s="97">
        <f t="shared" si="0"/>
        <v>4.4444444444444481E-2</v>
      </c>
      <c r="F23" s="8" t="s">
        <v>53</v>
      </c>
      <c r="G23" s="8" t="s">
        <v>120</v>
      </c>
      <c r="H23" s="8" t="s">
        <v>121</v>
      </c>
      <c r="I23" s="8"/>
      <c r="J23" s="8" t="s">
        <v>69</v>
      </c>
      <c r="K23" s="8" t="s">
        <v>57</v>
      </c>
      <c r="L23" s="98">
        <v>0.95</v>
      </c>
      <c r="M23" s="98">
        <v>0.95</v>
      </c>
      <c r="N23" s="98">
        <v>0.95</v>
      </c>
      <c r="O23" s="98">
        <v>0.95</v>
      </c>
      <c r="P23" s="98">
        <v>0.95</v>
      </c>
      <c r="Q23" s="8" t="s">
        <v>86</v>
      </c>
      <c r="R23" s="8" t="s">
        <v>122</v>
      </c>
      <c r="S23" s="8" t="s">
        <v>117</v>
      </c>
      <c r="T23" s="8" t="s">
        <v>61</v>
      </c>
      <c r="U23" s="8" t="s">
        <v>118</v>
      </c>
      <c r="V23" s="99">
        <f t="shared" si="4"/>
        <v>0.95</v>
      </c>
      <c r="W23" s="111">
        <v>0.67500000000000004</v>
      </c>
      <c r="X23" s="111">
        <f>W23/V23</f>
        <v>0.71052631578947378</v>
      </c>
      <c r="Y23" s="101" t="s">
        <v>123</v>
      </c>
      <c r="Z23" s="101" t="s">
        <v>124</v>
      </c>
      <c r="AA23" s="99">
        <f t="shared" si="5"/>
        <v>0.95</v>
      </c>
      <c r="AB23" s="112">
        <v>0.97099999999999997</v>
      </c>
      <c r="AC23" s="103">
        <f t="shared" si="10"/>
        <v>1</v>
      </c>
      <c r="AD23" s="101" t="s">
        <v>275</v>
      </c>
      <c r="AE23" s="101" t="s">
        <v>276</v>
      </c>
      <c r="AF23" s="104">
        <f t="shared" si="1"/>
        <v>0.95</v>
      </c>
      <c r="AG23" s="105"/>
      <c r="AH23" s="103">
        <f t="shared" si="7"/>
        <v>0</v>
      </c>
      <c r="AI23" s="8"/>
      <c r="AJ23" s="8"/>
      <c r="AK23" s="104">
        <f t="shared" si="2"/>
        <v>0.95</v>
      </c>
      <c r="AL23" s="105"/>
      <c r="AM23" s="103">
        <f t="shared" si="8"/>
        <v>0</v>
      </c>
      <c r="AN23" s="8"/>
      <c r="AO23" s="8"/>
      <c r="AP23" s="99">
        <f t="shared" si="3"/>
        <v>0.95</v>
      </c>
      <c r="AQ23" s="113">
        <f>(71.1%*25%)+(97.1%*25%)</f>
        <v>0.42049999999999998</v>
      </c>
      <c r="AR23" s="69">
        <f t="shared" si="9"/>
        <v>0.44263157894736843</v>
      </c>
      <c r="AS23" s="114" t="s">
        <v>279</v>
      </c>
    </row>
    <row r="24" spans="1:45" s="30" customFormat="1" ht="92.25" customHeight="1" x14ac:dyDescent="0.25">
      <c r="A24" s="78">
        <v>4</v>
      </c>
      <c r="B24" s="78" t="s">
        <v>50</v>
      </c>
      <c r="C24" s="78" t="s">
        <v>125</v>
      </c>
      <c r="D24" s="78" t="s">
        <v>126</v>
      </c>
      <c r="E24" s="4">
        <f t="shared" si="0"/>
        <v>4.4444444444444481E-2</v>
      </c>
      <c r="F24" s="78" t="s">
        <v>74</v>
      </c>
      <c r="G24" s="78" t="s">
        <v>127</v>
      </c>
      <c r="H24" s="78" t="s">
        <v>128</v>
      </c>
      <c r="I24" s="78"/>
      <c r="J24" s="78" t="s">
        <v>129</v>
      </c>
      <c r="K24" s="78" t="s">
        <v>130</v>
      </c>
      <c r="L24" s="9">
        <v>1800</v>
      </c>
      <c r="M24" s="9">
        <v>1800</v>
      </c>
      <c r="N24" s="9">
        <v>1800</v>
      </c>
      <c r="O24" s="9">
        <v>1800</v>
      </c>
      <c r="P24" s="10">
        <f>SUM(L24:O24)</f>
        <v>7200</v>
      </c>
      <c r="Q24" s="78" t="s">
        <v>86</v>
      </c>
      <c r="R24" s="78" t="s">
        <v>131</v>
      </c>
      <c r="S24" s="78" t="s">
        <v>132</v>
      </c>
      <c r="T24" s="78" t="s">
        <v>61</v>
      </c>
      <c r="U24" s="78" t="s">
        <v>132</v>
      </c>
      <c r="V24" s="42">
        <f t="shared" si="4"/>
        <v>1800</v>
      </c>
      <c r="W24" s="40">
        <v>5755</v>
      </c>
      <c r="X24" s="35">
        <v>1</v>
      </c>
      <c r="Y24" s="61" t="s">
        <v>133</v>
      </c>
      <c r="Z24" s="61" t="s">
        <v>134</v>
      </c>
      <c r="AA24" s="90">
        <f t="shared" si="5"/>
        <v>1800</v>
      </c>
      <c r="AB24" s="90">
        <v>15566</v>
      </c>
      <c r="AC24" s="69">
        <f t="shared" si="10"/>
        <v>1</v>
      </c>
      <c r="AD24" s="61" t="s">
        <v>244</v>
      </c>
      <c r="AE24" s="61" t="s">
        <v>241</v>
      </c>
      <c r="AF24" s="9">
        <f t="shared" si="1"/>
        <v>1800</v>
      </c>
      <c r="AG24" s="70"/>
      <c r="AH24" s="69">
        <f t="shared" si="7"/>
        <v>0</v>
      </c>
      <c r="AI24" s="78"/>
      <c r="AJ24" s="78"/>
      <c r="AK24" s="31">
        <f t="shared" si="2"/>
        <v>1800</v>
      </c>
      <c r="AL24" s="70"/>
      <c r="AM24" s="69">
        <f t="shared" si="8"/>
        <v>0</v>
      </c>
      <c r="AN24" s="78"/>
      <c r="AO24" s="78"/>
      <c r="AP24" s="42">
        <f t="shared" si="3"/>
        <v>7200</v>
      </c>
      <c r="AQ24" s="56">
        <f>5755+15566</f>
        <v>21321</v>
      </c>
      <c r="AR24" s="69">
        <f>IF(AQ24/AP24&gt;100%,100%,AQ24/AP24)</f>
        <v>1</v>
      </c>
      <c r="AS24" s="61" t="s">
        <v>245</v>
      </c>
    </row>
    <row r="25" spans="1:45" s="30" customFormat="1" ht="60" x14ac:dyDescent="0.25">
      <c r="A25" s="78">
        <v>4</v>
      </c>
      <c r="B25" s="78" t="s">
        <v>50</v>
      </c>
      <c r="C25" s="78" t="s">
        <v>125</v>
      </c>
      <c r="D25" s="78" t="s">
        <v>135</v>
      </c>
      <c r="E25" s="4">
        <f t="shared" si="0"/>
        <v>4.4444444444444481E-2</v>
      </c>
      <c r="F25" s="78" t="s">
        <v>53</v>
      </c>
      <c r="G25" s="78" t="s">
        <v>136</v>
      </c>
      <c r="H25" s="78" t="s">
        <v>137</v>
      </c>
      <c r="I25" s="78"/>
      <c r="J25" s="78" t="s">
        <v>129</v>
      </c>
      <c r="K25" s="78" t="s">
        <v>138</v>
      </c>
      <c r="L25" s="9">
        <v>900</v>
      </c>
      <c r="M25" s="9">
        <v>900</v>
      </c>
      <c r="N25" s="9">
        <v>900</v>
      </c>
      <c r="O25" s="9">
        <v>900</v>
      </c>
      <c r="P25" s="10">
        <f>SUM(L25:O25)</f>
        <v>3600</v>
      </c>
      <c r="Q25" s="78" t="s">
        <v>86</v>
      </c>
      <c r="R25" s="78" t="s">
        <v>138</v>
      </c>
      <c r="S25" s="78" t="s">
        <v>132</v>
      </c>
      <c r="T25" s="78" t="s">
        <v>61</v>
      </c>
      <c r="U25" s="78" t="s">
        <v>132</v>
      </c>
      <c r="V25" s="42">
        <f t="shared" si="4"/>
        <v>900</v>
      </c>
      <c r="W25" s="40">
        <v>3121</v>
      </c>
      <c r="X25" s="35">
        <v>1</v>
      </c>
      <c r="Y25" s="61" t="s">
        <v>139</v>
      </c>
      <c r="Z25" s="61" t="s">
        <v>134</v>
      </c>
      <c r="AA25" s="90">
        <f t="shared" si="5"/>
        <v>900</v>
      </c>
      <c r="AB25" s="90">
        <v>6063</v>
      </c>
      <c r="AC25" s="69">
        <f t="shared" si="10"/>
        <v>1</v>
      </c>
      <c r="AD25" s="61" t="s">
        <v>247</v>
      </c>
      <c r="AE25" s="61" t="s">
        <v>246</v>
      </c>
      <c r="AF25" s="9">
        <f t="shared" si="1"/>
        <v>900</v>
      </c>
      <c r="AG25" s="70"/>
      <c r="AH25" s="69">
        <f t="shared" si="7"/>
        <v>0</v>
      </c>
      <c r="AI25" s="78"/>
      <c r="AJ25" s="78"/>
      <c r="AK25" s="31">
        <f t="shared" si="2"/>
        <v>900</v>
      </c>
      <c r="AL25" s="70"/>
      <c r="AM25" s="69">
        <f t="shared" si="8"/>
        <v>0</v>
      </c>
      <c r="AN25" s="78"/>
      <c r="AO25" s="78"/>
      <c r="AP25" s="42">
        <f t="shared" si="3"/>
        <v>3600</v>
      </c>
      <c r="AQ25" s="56">
        <f>3121+6063</f>
        <v>9184</v>
      </c>
      <c r="AR25" s="69">
        <f t="shared" ref="AR25:AR37" si="11">IF(AQ25/AP25&gt;100%,100%,AQ25/AP25)</f>
        <v>1</v>
      </c>
      <c r="AS25" s="61" t="s">
        <v>248</v>
      </c>
    </row>
    <row r="26" spans="1:45" s="30" customFormat="1" ht="75" x14ac:dyDescent="0.25">
      <c r="A26" s="78">
        <v>4</v>
      </c>
      <c r="B26" s="78" t="s">
        <v>50</v>
      </c>
      <c r="C26" s="78" t="s">
        <v>125</v>
      </c>
      <c r="D26" s="78" t="s">
        <v>140</v>
      </c>
      <c r="E26" s="4">
        <f t="shared" si="0"/>
        <v>4.4444444444444481E-2</v>
      </c>
      <c r="F26" s="78" t="s">
        <v>53</v>
      </c>
      <c r="G26" s="78" t="s">
        <v>141</v>
      </c>
      <c r="H26" s="78" t="s">
        <v>142</v>
      </c>
      <c r="I26" s="78"/>
      <c r="J26" s="78" t="s">
        <v>129</v>
      </c>
      <c r="K26" s="78" t="s">
        <v>143</v>
      </c>
      <c r="L26" s="11">
        <v>11</v>
      </c>
      <c r="M26" s="11">
        <v>21</v>
      </c>
      <c r="N26" s="11">
        <v>21</v>
      </c>
      <c r="O26" s="11">
        <v>13</v>
      </c>
      <c r="P26" s="10">
        <f t="shared" ref="P26:P31" si="12">SUM(L26:O26)</f>
        <v>66</v>
      </c>
      <c r="Q26" s="78" t="s">
        <v>86</v>
      </c>
      <c r="R26" s="78" t="s">
        <v>144</v>
      </c>
      <c r="S26" s="78" t="s">
        <v>145</v>
      </c>
      <c r="T26" s="78" t="s">
        <v>61</v>
      </c>
      <c r="U26" s="78" t="s">
        <v>145</v>
      </c>
      <c r="V26" s="42">
        <f t="shared" si="4"/>
        <v>11</v>
      </c>
      <c r="W26" s="40">
        <v>6</v>
      </c>
      <c r="X26" s="43">
        <f>W26/V26</f>
        <v>0.54545454545454541</v>
      </c>
      <c r="Y26" s="61" t="s">
        <v>146</v>
      </c>
      <c r="Z26" s="61" t="s">
        <v>147</v>
      </c>
      <c r="AA26" s="90">
        <f t="shared" si="5"/>
        <v>21</v>
      </c>
      <c r="AB26" s="90">
        <v>9</v>
      </c>
      <c r="AC26" s="69">
        <f t="shared" si="10"/>
        <v>0.42857142857142855</v>
      </c>
      <c r="AD26" s="61" t="s">
        <v>249</v>
      </c>
      <c r="AE26" s="61" t="s">
        <v>246</v>
      </c>
      <c r="AF26" s="9">
        <f t="shared" si="1"/>
        <v>21</v>
      </c>
      <c r="AG26" s="70"/>
      <c r="AH26" s="69">
        <f t="shared" si="7"/>
        <v>0</v>
      </c>
      <c r="AI26" s="78"/>
      <c r="AJ26" s="78"/>
      <c r="AK26" s="31">
        <f t="shared" si="2"/>
        <v>13</v>
      </c>
      <c r="AL26" s="70"/>
      <c r="AM26" s="69">
        <f t="shared" si="8"/>
        <v>0</v>
      </c>
      <c r="AN26" s="78"/>
      <c r="AO26" s="78"/>
      <c r="AP26" s="42">
        <f t="shared" si="3"/>
        <v>66</v>
      </c>
      <c r="AQ26" s="56">
        <f>6+9</f>
        <v>15</v>
      </c>
      <c r="AR26" s="69">
        <f t="shared" si="11"/>
        <v>0.22727272727272727</v>
      </c>
      <c r="AS26" s="61" t="s">
        <v>250</v>
      </c>
    </row>
    <row r="27" spans="1:45" s="30" customFormat="1" ht="90" x14ac:dyDescent="0.25">
      <c r="A27" s="78">
        <v>4</v>
      </c>
      <c r="B27" s="78" t="s">
        <v>50</v>
      </c>
      <c r="C27" s="78" t="s">
        <v>125</v>
      </c>
      <c r="D27" s="78" t="s">
        <v>148</v>
      </c>
      <c r="E27" s="4">
        <f t="shared" si="0"/>
        <v>4.4444444444444481E-2</v>
      </c>
      <c r="F27" s="78" t="s">
        <v>74</v>
      </c>
      <c r="G27" s="78" t="s">
        <v>149</v>
      </c>
      <c r="H27" s="78" t="s">
        <v>150</v>
      </c>
      <c r="I27" s="78"/>
      <c r="J27" s="78" t="s">
        <v>129</v>
      </c>
      <c r="K27" s="78" t="s">
        <v>144</v>
      </c>
      <c r="L27" s="11">
        <v>3</v>
      </c>
      <c r="M27" s="11">
        <v>7</v>
      </c>
      <c r="N27" s="11">
        <v>8</v>
      </c>
      <c r="O27" s="11">
        <v>3</v>
      </c>
      <c r="P27" s="10">
        <f t="shared" si="12"/>
        <v>21</v>
      </c>
      <c r="Q27" s="78" t="s">
        <v>86</v>
      </c>
      <c r="R27" s="78" t="s">
        <v>144</v>
      </c>
      <c r="S27" s="78" t="s">
        <v>145</v>
      </c>
      <c r="T27" s="78" t="s">
        <v>61</v>
      </c>
      <c r="U27" s="78" t="s">
        <v>145</v>
      </c>
      <c r="V27" s="42">
        <f t="shared" si="4"/>
        <v>3</v>
      </c>
      <c r="W27" s="40">
        <v>0</v>
      </c>
      <c r="X27" s="44">
        <v>0</v>
      </c>
      <c r="Y27" s="61" t="s">
        <v>151</v>
      </c>
      <c r="Z27" s="61" t="s">
        <v>147</v>
      </c>
      <c r="AA27" s="90">
        <v>7</v>
      </c>
      <c r="AB27" s="90">
        <v>2</v>
      </c>
      <c r="AC27" s="69">
        <f t="shared" si="10"/>
        <v>0.2857142857142857</v>
      </c>
      <c r="AD27" s="61" t="s">
        <v>251</v>
      </c>
      <c r="AE27" s="61" t="s">
        <v>246</v>
      </c>
      <c r="AF27" s="9">
        <f t="shared" si="1"/>
        <v>8</v>
      </c>
      <c r="AG27" s="70"/>
      <c r="AH27" s="69">
        <f t="shared" si="7"/>
        <v>0</v>
      </c>
      <c r="AI27" s="78"/>
      <c r="AJ27" s="78"/>
      <c r="AK27" s="31">
        <f t="shared" si="2"/>
        <v>3</v>
      </c>
      <c r="AL27" s="70"/>
      <c r="AM27" s="69">
        <f t="shared" si="8"/>
        <v>0</v>
      </c>
      <c r="AN27" s="78"/>
      <c r="AO27" s="78"/>
      <c r="AP27" s="42">
        <f t="shared" si="3"/>
        <v>21</v>
      </c>
      <c r="AQ27" s="56">
        <v>2</v>
      </c>
      <c r="AR27" s="69">
        <f t="shared" si="11"/>
        <v>9.5238095238095233E-2</v>
      </c>
      <c r="AS27" s="67" t="s">
        <v>252</v>
      </c>
    </row>
    <row r="28" spans="1:45" s="30" customFormat="1" ht="105.75" customHeight="1" x14ac:dyDescent="0.25">
      <c r="A28" s="78">
        <v>4</v>
      </c>
      <c r="B28" s="78" t="s">
        <v>50</v>
      </c>
      <c r="C28" s="78" t="s">
        <v>125</v>
      </c>
      <c r="D28" s="78" t="s">
        <v>153</v>
      </c>
      <c r="E28" s="4">
        <f t="shared" si="0"/>
        <v>4.4444444444444481E-2</v>
      </c>
      <c r="F28" s="78" t="s">
        <v>74</v>
      </c>
      <c r="G28" s="78" t="s">
        <v>154</v>
      </c>
      <c r="H28" s="78" t="s">
        <v>155</v>
      </c>
      <c r="I28" s="78"/>
      <c r="J28" s="78" t="s">
        <v>129</v>
      </c>
      <c r="K28" s="78" t="s">
        <v>156</v>
      </c>
      <c r="L28" s="11">
        <v>15</v>
      </c>
      <c r="M28" s="11">
        <v>15</v>
      </c>
      <c r="N28" s="11">
        <v>15</v>
      </c>
      <c r="O28" s="11">
        <v>15</v>
      </c>
      <c r="P28" s="10">
        <f t="shared" si="12"/>
        <v>60</v>
      </c>
      <c r="Q28" s="78" t="s">
        <v>86</v>
      </c>
      <c r="R28" s="78" t="s">
        <v>157</v>
      </c>
      <c r="S28" s="78" t="s">
        <v>158</v>
      </c>
      <c r="T28" s="78" t="s">
        <v>61</v>
      </c>
      <c r="U28" s="78" t="s">
        <v>157</v>
      </c>
      <c r="V28" s="42">
        <f t="shared" si="4"/>
        <v>15</v>
      </c>
      <c r="W28" s="40">
        <v>30</v>
      </c>
      <c r="X28" s="35">
        <v>1</v>
      </c>
      <c r="Y28" s="61" t="s">
        <v>159</v>
      </c>
      <c r="Z28" s="61" t="s">
        <v>160</v>
      </c>
      <c r="AA28" s="90">
        <f t="shared" si="5"/>
        <v>15</v>
      </c>
      <c r="AB28" s="90">
        <v>20</v>
      </c>
      <c r="AC28" s="69">
        <f t="shared" si="10"/>
        <v>1</v>
      </c>
      <c r="AD28" s="61" t="s">
        <v>253</v>
      </c>
      <c r="AE28" s="61" t="s">
        <v>152</v>
      </c>
      <c r="AF28" s="9">
        <f t="shared" si="1"/>
        <v>15</v>
      </c>
      <c r="AG28" s="70"/>
      <c r="AH28" s="69">
        <f t="shared" si="7"/>
        <v>0</v>
      </c>
      <c r="AI28" s="78"/>
      <c r="AJ28" s="78"/>
      <c r="AK28" s="31">
        <f t="shared" si="2"/>
        <v>15</v>
      </c>
      <c r="AL28" s="70"/>
      <c r="AM28" s="69">
        <f t="shared" si="8"/>
        <v>0</v>
      </c>
      <c r="AN28" s="78"/>
      <c r="AO28" s="78"/>
      <c r="AP28" s="42">
        <f t="shared" si="3"/>
        <v>60</v>
      </c>
      <c r="AQ28" s="56">
        <f>30+20</f>
        <v>50</v>
      </c>
      <c r="AR28" s="69">
        <f t="shared" si="11"/>
        <v>0.83333333333333337</v>
      </c>
      <c r="AS28" s="67" t="s">
        <v>254</v>
      </c>
    </row>
    <row r="29" spans="1:45" s="30" customFormat="1" ht="90" x14ac:dyDescent="0.25">
      <c r="A29" s="78">
        <v>4</v>
      </c>
      <c r="B29" s="78" t="s">
        <v>50</v>
      </c>
      <c r="C29" s="78" t="s">
        <v>125</v>
      </c>
      <c r="D29" s="78" t="s">
        <v>161</v>
      </c>
      <c r="E29" s="4">
        <f t="shared" si="0"/>
        <v>4.4444444444444481E-2</v>
      </c>
      <c r="F29" s="78" t="s">
        <v>74</v>
      </c>
      <c r="G29" s="78" t="s">
        <v>162</v>
      </c>
      <c r="H29" s="78" t="s">
        <v>163</v>
      </c>
      <c r="I29" s="78"/>
      <c r="J29" s="78" t="s">
        <v>129</v>
      </c>
      <c r="K29" s="78" t="s">
        <v>156</v>
      </c>
      <c r="L29" s="11">
        <v>13</v>
      </c>
      <c r="M29" s="11">
        <v>12</v>
      </c>
      <c r="N29" s="11">
        <v>17</v>
      </c>
      <c r="O29" s="11">
        <v>18</v>
      </c>
      <c r="P29" s="10">
        <f t="shared" si="12"/>
        <v>60</v>
      </c>
      <c r="Q29" s="78" t="s">
        <v>86</v>
      </c>
      <c r="R29" s="78" t="s">
        <v>157</v>
      </c>
      <c r="S29" s="78" t="s">
        <v>158</v>
      </c>
      <c r="T29" s="78" t="s">
        <v>61</v>
      </c>
      <c r="U29" s="78" t="s">
        <v>157</v>
      </c>
      <c r="V29" s="42">
        <f t="shared" si="4"/>
        <v>13</v>
      </c>
      <c r="W29" s="40">
        <v>15</v>
      </c>
      <c r="X29" s="35">
        <v>1</v>
      </c>
      <c r="Y29" s="61" t="s">
        <v>164</v>
      </c>
      <c r="Z29" s="61" t="s">
        <v>165</v>
      </c>
      <c r="AA29" s="90">
        <f t="shared" si="5"/>
        <v>12</v>
      </c>
      <c r="AB29" s="90">
        <v>20</v>
      </c>
      <c r="AC29" s="82">
        <f t="shared" si="10"/>
        <v>1</v>
      </c>
      <c r="AD29" s="61" t="s">
        <v>166</v>
      </c>
      <c r="AE29" s="61" t="s">
        <v>152</v>
      </c>
      <c r="AF29" s="9">
        <f t="shared" si="1"/>
        <v>17</v>
      </c>
      <c r="AG29" s="70"/>
      <c r="AH29" s="69">
        <f t="shared" si="7"/>
        <v>0</v>
      </c>
      <c r="AI29" s="78"/>
      <c r="AJ29" s="78"/>
      <c r="AK29" s="31">
        <f t="shared" si="2"/>
        <v>18</v>
      </c>
      <c r="AL29" s="70"/>
      <c r="AM29" s="69">
        <f t="shared" si="8"/>
        <v>0</v>
      </c>
      <c r="AN29" s="78"/>
      <c r="AO29" s="78"/>
      <c r="AP29" s="42">
        <f t="shared" si="3"/>
        <v>60</v>
      </c>
      <c r="AQ29" s="56">
        <f>15+20</f>
        <v>35</v>
      </c>
      <c r="AR29" s="69">
        <f t="shared" si="11"/>
        <v>0.58333333333333337</v>
      </c>
      <c r="AS29" s="67" t="s">
        <v>255</v>
      </c>
    </row>
    <row r="30" spans="1:45" s="30" customFormat="1" ht="104.25" customHeight="1" x14ac:dyDescent="0.25">
      <c r="A30" s="78">
        <v>4</v>
      </c>
      <c r="B30" s="78" t="s">
        <v>50</v>
      </c>
      <c r="C30" s="78" t="s">
        <v>125</v>
      </c>
      <c r="D30" s="78" t="s">
        <v>167</v>
      </c>
      <c r="E30" s="4">
        <f t="shared" si="0"/>
        <v>4.4444444444444481E-2</v>
      </c>
      <c r="F30" s="78" t="s">
        <v>74</v>
      </c>
      <c r="G30" s="78" t="s">
        <v>168</v>
      </c>
      <c r="H30" s="78" t="s">
        <v>169</v>
      </c>
      <c r="I30" s="78"/>
      <c r="J30" s="78" t="s">
        <v>129</v>
      </c>
      <c r="K30" s="78" t="s">
        <v>156</v>
      </c>
      <c r="L30" s="11">
        <v>8</v>
      </c>
      <c r="M30" s="11">
        <v>9</v>
      </c>
      <c r="N30" s="11">
        <v>9</v>
      </c>
      <c r="O30" s="11">
        <v>8</v>
      </c>
      <c r="P30" s="10">
        <f t="shared" si="12"/>
        <v>34</v>
      </c>
      <c r="Q30" s="78" t="s">
        <v>86</v>
      </c>
      <c r="R30" s="78" t="s">
        <v>157</v>
      </c>
      <c r="S30" s="78" t="s">
        <v>158</v>
      </c>
      <c r="T30" s="78" t="s">
        <v>61</v>
      </c>
      <c r="U30" s="78" t="s">
        <v>157</v>
      </c>
      <c r="V30" s="42">
        <f t="shared" si="4"/>
        <v>8</v>
      </c>
      <c r="W30" s="40">
        <v>18</v>
      </c>
      <c r="X30" s="35">
        <v>1</v>
      </c>
      <c r="Y30" s="62" t="s">
        <v>170</v>
      </c>
      <c r="Z30" s="61" t="s">
        <v>165</v>
      </c>
      <c r="AA30" s="90">
        <f t="shared" si="5"/>
        <v>9</v>
      </c>
      <c r="AB30" s="90">
        <v>15</v>
      </c>
      <c r="AC30" s="82">
        <f t="shared" si="10"/>
        <v>1</v>
      </c>
      <c r="AD30" s="61" t="s">
        <v>171</v>
      </c>
      <c r="AE30" s="61" t="s">
        <v>152</v>
      </c>
      <c r="AF30" s="9">
        <f t="shared" si="1"/>
        <v>9</v>
      </c>
      <c r="AG30" s="70"/>
      <c r="AH30" s="69">
        <f t="shared" si="7"/>
        <v>0</v>
      </c>
      <c r="AI30" s="78"/>
      <c r="AJ30" s="78"/>
      <c r="AK30" s="31">
        <f t="shared" si="2"/>
        <v>8</v>
      </c>
      <c r="AL30" s="70"/>
      <c r="AM30" s="69">
        <f t="shared" si="8"/>
        <v>0</v>
      </c>
      <c r="AN30" s="78"/>
      <c r="AO30" s="78"/>
      <c r="AP30" s="42">
        <f t="shared" si="3"/>
        <v>34</v>
      </c>
      <c r="AQ30" s="56">
        <f>18+15</f>
        <v>33</v>
      </c>
      <c r="AR30" s="69">
        <f t="shared" si="11"/>
        <v>0.97058823529411764</v>
      </c>
      <c r="AS30" s="67" t="s">
        <v>256</v>
      </c>
    </row>
    <row r="31" spans="1:45" s="30" customFormat="1" ht="75" x14ac:dyDescent="0.25">
      <c r="A31" s="78">
        <v>4</v>
      </c>
      <c r="B31" s="78" t="s">
        <v>50</v>
      </c>
      <c r="C31" s="78" t="s">
        <v>125</v>
      </c>
      <c r="D31" s="78" t="s">
        <v>172</v>
      </c>
      <c r="E31" s="4">
        <f t="shared" si="0"/>
        <v>4.4444444444444481E-2</v>
      </c>
      <c r="F31" s="78" t="s">
        <v>74</v>
      </c>
      <c r="G31" s="78" t="s">
        <v>173</v>
      </c>
      <c r="H31" s="78" t="s">
        <v>174</v>
      </c>
      <c r="I31" s="78"/>
      <c r="J31" s="78" t="s">
        <v>129</v>
      </c>
      <c r="K31" s="78" t="s">
        <v>156</v>
      </c>
      <c r="L31" s="11">
        <v>9</v>
      </c>
      <c r="M31" s="11">
        <v>12</v>
      </c>
      <c r="N31" s="11">
        <v>12</v>
      </c>
      <c r="O31" s="11">
        <v>11</v>
      </c>
      <c r="P31" s="10">
        <f t="shared" si="12"/>
        <v>44</v>
      </c>
      <c r="Q31" s="78" t="s">
        <v>86</v>
      </c>
      <c r="R31" s="78" t="s">
        <v>157</v>
      </c>
      <c r="S31" s="78" t="s">
        <v>158</v>
      </c>
      <c r="T31" s="78" t="s">
        <v>61</v>
      </c>
      <c r="U31" s="78" t="s">
        <v>157</v>
      </c>
      <c r="V31" s="42">
        <f t="shared" si="4"/>
        <v>9</v>
      </c>
      <c r="W31" s="40">
        <v>11</v>
      </c>
      <c r="X31" s="35">
        <v>1</v>
      </c>
      <c r="Y31" s="61" t="s">
        <v>175</v>
      </c>
      <c r="Z31" s="61" t="s">
        <v>165</v>
      </c>
      <c r="AA31" s="90">
        <f t="shared" si="5"/>
        <v>12</v>
      </c>
      <c r="AB31" s="90">
        <v>8</v>
      </c>
      <c r="AC31" s="69">
        <f>IF(AB31/AA31&gt;100%,100%,AB31/AA31)</f>
        <v>0.66666666666666663</v>
      </c>
      <c r="AD31" s="61" t="s">
        <v>257</v>
      </c>
      <c r="AE31" s="61" t="s">
        <v>152</v>
      </c>
      <c r="AF31" s="9">
        <f t="shared" si="1"/>
        <v>12</v>
      </c>
      <c r="AG31" s="70"/>
      <c r="AH31" s="69">
        <f>IF(AG31/AF31&gt;100%,100%,AG31/AF31)</f>
        <v>0</v>
      </c>
      <c r="AI31" s="78"/>
      <c r="AJ31" s="78"/>
      <c r="AK31" s="31">
        <f t="shared" si="2"/>
        <v>11</v>
      </c>
      <c r="AL31" s="70"/>
      <c r="AM31" s="69">
        <f>IF(AL31/AK31&gt;100%,100%,AL31/AK31)</f>
        <v>0</v>
      </c>
      <c r="AN31" s="78"/>
      <c r="AO31" s="78"/>
      <c r="AP31" s="42">
        <f t="shared" si="3"/>
        <v>44</v>
      </c>
      <c r="AQ31" s="56">
        <f>11+8</f>
        <v>19</v>
      </c>
      <c r="AR31" s="69">
        <f t="shared" si="11"/>
        <v>0.43181818181818182</v>
      </c>
      <c r="AS31" s="67" t="s">
        <v>258</v>
      </c>
    </row>
    <row r="32" spans="1:45" s="33" customFormat="1" ht="15.75" x14ac:dyDescent="0.25">
      <c r="A32" s="12"/>
      <c r="B32" s="12"/>
      <c r="C32" s="12"/>
      <c r="D32" s="13" t="s">
        <v>176</v>
      </c>
      <c r="E32" s="14">
        <f>SUM(E14:E31)</f>
        <v>0.80000000000000093</v>
      </c>
      <c r="F32" s="12"/>
      <c r="G32" s="12"/>
      <c r="H32" s="12"/>
      <c r="I32" s="12"/>
      <c r="J32" s="12"/>
      <c r="K32" s="12"/>
      <c r="L32" s="14"/>
      <c r="M32" s="14"/>
      <c r="N32" s="14"/>
      <c r="O32" s="14"/>
      <c r="P32" s="14"/>
      <c r="Q32" s="12"/>
      <c r="R32" s="12"/>
      <c r="S32" s="12"/>
      <c r="T32" s="12"/>
      <c r="U32" s="12"/>
      <c r="V32" s="45"/>
      <c r="W32" s="45"/>
      <c r="X32" s="45">
        <f>AVERAGE(X14:X31)*80%</f>
        <v>0.62203851674641153</v>
      </c>
      <c r="Y32" s="63"/>
      <c r="Z32" s="63"/>
      <c r="AA32" s="91"/>
      <c r="AB32" s="91"/>
      <c r="AC32" s="108">
        <f>AVERAGE(AC14:AC31)*80%</f>
        <v>0.67511982728506226</v>
      </c>
      <c r="AD32" s="12"/>
      <c r="AE32" s="12"/>
      <c r="AF32" s="14"/>
      <c r="AG32" s="14"/>
      <c r="AH32" s="45" t="e">
        <f>AVERAGE(AH14:AH31)*80%</f>
        <v>#DIV/0!</v>
      </c>
      <c r="AI32" s="12"/>
      <c r="AJ32" s="12"/>
      <c r="AK32" s="32"/>
      <c r="AL32" s="14"/>
      <c r="AM32" s="45">
        <f>AVERAGE(AM14:AM31)*80%</f>
        <v>0</v>
      </c>
      <c r="AN32" s="12"/>
      <c r="AO32" s="12"/>
      <c r="AP32" s="45"/>
      <c r="AQ32" s="45"/>
      <c r="AR32" s="108">
        <f>AVERAGE(AR14:AR31)*80%</f>
        <v>0.37876577595206068</v>
      </c>
      <c r="AS32" s="63"/>
    </row>
    <row r="33" spans="1:45" ht="135" x14ac:dyDescent="0.25">
      <c r="A33" s="15">
        <v>7</v>
      </c>
      <c r="B33" s="15" t="s">
        <v>177</v>
      </c>
      <c r="C33" s="15" t="s">
        <v>178</v>
      </c>
      <c r="D33" s="15" t="s">
        <v>179</v>
      </c>
      <c r="E33" s="16">
        <v>0.04</v>
      </c>
      <c r="F33" s="15" t="s">
        <v>180</v>
      </c>
      <c r="G33" s="15" t="s">
        <v>181</v>
      </c>
      <c r="H33" s="15" t="s">
        <v>182</v>
      </c>
      <c r="I33" s="15"/>
      <c r="J33" s="17" t="s">
        <v>183</v>
      </c>
      <c r="K33" s="17" t="s">
        <v>184</v>
      </c>
      <c r="L33" s="18">
        <v>0</v>
      </c>
      <c r="M33" s="18">
        <v>0.8</v>
      </c>
      <c r="N33" s="18">
        <v>0</v>
      </c>
      <c r="O33" s="18">
        <v>0.8</v>
      </c>
      <c r="P33" s="18">
        <v>0.8</v>
      </c>
      <c r="Q33" s="15" t="s">
        <v>86</v>
      </c>
      <c r="R33" s="15" t="s">
        <v>185</v>
      </c>
      <c r="S33" s="15" t="s">
        <v>186</v>
      </c>
      <c r="T33" s="15" t="s">
        <v>187</v>
      </c>
      <c r="U33" s="15" t="s">
        <v>188</v>
      </c>
      <c r="V33" s="46" t="s">
        <v>63</v>
      </c>
      <c r="W33" s="47" t="s">
        <v>63</v>
      </c>
      <c r="X33" s="47" t="s">
        <v>63</v>
      </c>
      <c r="Y33" s="64" t="s">
        <v>64</v>
      </c>
      <c r="Z33" s="64" t="s">
        <v>63</v>
      </c>
      <c r="AA33" s="46">
        <f t="shared" ref="AA33:AA37" si="13">M33</f>
        <v>0.8</v>
      </c>
      <c r="AB33" s="48">
        <v>0.97</v>
      </c>
      <c r="AC33" s="69">
        <f>IF(AB33/AA33&gt;100%,100%,AB33/AA33)</f>
        <v>1</v>
      </c>
      <c r="AD33" s="94" t="s">
        <v>259</v>
      </c>
      <c r="AE33" s="95" t="s">
        <v>260</v>
      </c>
      <c r="AF33" s="16">
        <f t="shared" si="1"/>
        <v>0</v>
      </c>
      <c r="AG33" s="15"/>
      <c r="AH33" s="15"/>
      <c r="AI33" s="15"/>
      <c r="AJ33" s="15"/>
      <c r="AK33" s="16">
        <f t="shared" si="2"/>
        <v>0.8</v>
      </c>
      <c r="AL33" s="15"/>
      <c r="AM33" s="15"/>
      <c r="AN33" s="15"/>
      <c r="AO33" s="15"/>
      <c r="AP33" s="48">
        <f t="shared" si="3"/>
        <v>0.8</v>
      </c>
      <c r="AQ33" s="48">
        <f>(97%*50%)</f>
        <v>0.48499999999999999</v>
      </c>
      <c r="AR33" s="69">
        <f t="shared" si="11"/>
        <v>0.60624999999999996</v>
      </c>
      <c r="AS33" s="94" t="s">
        <v>261</v>
      </c>
    </row>
    <row r="34" spans="1:45" ht="105" x14ac:dyDescent="0.25">
      <c r="A34" s="15">
        <v>7</v>
      </c>
      <c r="B34" s="15" t="s">
        <v>177</v>
      </c>
      <c r="C34" s="15" t="s">
        <v>178</v>
      </c>
      <c r="D34" s="15" t="s">
        <v>189</v>
      </c>
      <c r="E34" s="16">
        <v>0.04</v>
      </c>
      <c r="F34" s="15" t="s">
        <v>180</v>
      </c>
      <c r="G34" s="15" t="s">
        <v>190</v>
      </c>
      <c r="H34" s="15" t="s">
        <v>191</v>
      </c>
      <c r="I34" s="15"/>
      <c r="J34" s="17" t="s">
        <v>183</v>
      </c>
      <c r="K34" s="17" t="s">
        <v>192</v>
      </c>
      <c r="L34" s="19">
        <v>1</v>
      </c>
      <c r="M34" s="20">
        <v>1</v>
      </c>
      <c r="N34" s="20">
        <v>1</v>
      </c>
      <c r="O34" s="20">
        <v>1</v>
      </c>
      <c r="P34" s="20">
        <v>1</v>
      </c>
      <c r="Q34" s="15" t="s">
        <v>86</v>
      </c>
      <c r="R34" s="15" t="s">
        <v>193</v>
      </c>
      <c r="S34" s="15" t="s">
        <v>194</v>
      </c>
      <c r="T34" s="15" t="s">
        <v>195</v>
      </c>
      <c r="U34" s="15" t="s">
        <v>196</v>
      </c>
      <c r="V34" s="46">
        <f>L34</f>
        <v>1</v>
      </c>
      <c r="W34" s="48">
        <v>1</v>
      </c>
      <c r="X34" s="48">
        <v>1</v>
      </c>
      <c r="Y34" s="64" t="s">
        <v>197</v>
      </c>
      <c r="Z34" s="64" t="s">
        <v>198</v>
      </c>
      <c r="AA34" s="46">
        <f t="shared" si="13"/>
        <v>1</v>
      </c>
      <c r="AB34" s="48">
        <v>0.91</v>
      </c>
      <c r="AC34" s="69">
        <f>IF(AB34/AA34&gt;100%,100%,AB34/AA34)</f>
        <v>0.91</v>
      </c>
      <c r="AD34" s="94" t="s">
        <v>262</v>
      </c>
      <c r="AE34" s="95" t="s">
        <v>263</v>
      </c>
      <c r="AF34" s="16">
        <f t="shared" si="1"/>
        <v>1</v>
      </c>
      <c r="AG34" s="15"/>
      <c r="AH34" s="15"/>
      <c r="AI34" s="15"/>
      <c r="AJ34" s="15"/>
      <c r="AK34" s="16">
        <f t="shared" si="2"/>
        <v>1</v>
      </c>
      <c r="AL34" s="15"/>
      <c r="AM34" s="15"/>
      <c r="AN34" s="15"/>
      <c r="AO34" s="15"/>
      <c r="AP34" s="48">
        <f t="shared" si="3"/>
        <v>1</v>
      </c>
      <c r="AQ34" s="46">
        <f>(100%*25%)+(91%*25%)</f>
        <v>0.47750000000000004</v>
      </c>
      <c r="AR34" s="69">
        <f t="shared" si="11"/>
        <v>0.47750000000000004</v>
      </c>
      <c r="AS34" s="94" t="s">
        <v>265</v>
      </c>
    </row>
    <row r="35" spans="1:45" ht="135" x14ac:dyDescent="0.25">
      <c r="A35" s="15">
        <v>7</v>
      </c>
      <c r="B35" s="15" t="s">
        <v>177</v>
      </c>
      <c r="C35" s="15" t="s">
        <v>199</v>
      </c>
      <c r="D35" s="15" t="s">
        <v>200</v>
      </c>
      <c r="E35" s="16">
        <v>0.04</v>
      </c>
      <c r="F35" s="15" t="s">
        <v>180</v>
      </c>
      <c r="G35" s="15" t="s">
        <v>201</v>
      </c>
      <c r="H35" s="15" t="s">
        <v>202</v>
      </c>
      <c r="I35" s="15"/>
      <c r="J35" s="17" t="s">
        <v>183</v>
      </c>
      <c r="K35" s="17" t="s">
        <v>203</v>
      </c>
      <c r="L35" s="19">
        <v>0</v>
      </c>
      <c r="M35" s="20">
        <v>1</v>
      </c>
      <c r="N35" s="20">
        <v>1</v>
      </c>
      <c r="O35" s="20">
        <v>1</v>
      </c>
      <c r="P35" s="20">
        <v>1</v>
      </c>
      <c r="Q35" s="15" t="s">
        <v>86</v>
      </c>
      <c r="R35" s="15" t="s">
        <v>204</v>
      </c>
      <c r="S35" s="15" t="s">
        <v>205</v>
      </c>
      <c r="T35" s="15" t="s">
        <v>206</v>
      </c>
      <c r="U35" s="15" t="s">
        <v>207</v>
      </c>
      <c r="V35" s="46" t="s">
        <v>63</v>
      </c>
      <c r="W35" s="47" t="s">
        <v>63</v>
      </c>
      <c r="X35" s="47" t="s">
        <v>63</v>
      </c>
      <c r="Y35" s="64" t="s">
        <v>64</v>
      </c>
      <c r="Z35" s="64" t="s">
        <v>63</v>
      </c>
      <c r="AA35" s="46">
        <f t="shared" si="13"/>
        <v>1</v>
      </c>
      <c r="AB35" s="49">
        <v>0.94779999999999998</v>
      </c>
      <c r="AC35" s="69">
        <f>IF(AB35/AA35&gt;100%,100%,AB35/AA35)</f>
        <v>0.94779999999999998</v>
      </c>
      <c r="AD35" s="94" t="s">
        <v>273</v>
      </c>
      <c r="AE35" s="95" t="s">
        <v>264</v>
      </c>
      <c r="AF35" s="16">
        <f t="shared" si="1"/>
        <v>1</v>
      </c>
      <c r="AG35" s="15"/>
      <c r="AH35" s="15"/>
      <c r="AI35" s="15"/>
      <c r="AJ35" s="15"/>
      <c r="AK35" s="16">
        <f t="shared" si="2"/>
        <v>1</v>
      </c>
      <c r="AL35" s="15"/>
      <c r="AM35" s="15"/>
      <c r="AN35" s="15"/>
      <c r="AO35" s="15"/>
      <c r="AP35" s="48">
        <f t="shared" si="3"/>
        <v>1</v>
      </c>
      <c r="AQ35" s="48">
        <f>(94.78%*33.3%)</f>
        <v>0.31561739999999994</v>
      </c>
      <c r="AR35" s="69">
        <f t="shared" si="11"/>
        <v>0.31561739999999994</v>
      </c>
      <c r="AS35" s="94" t="s">
        <v>273</v>
      </c>
    </row>
    <row r="36" spans="1:45" ht="105" x14ac:dyDescent="0.25">
      <c r="A36" s="15">
        <v>7</v>
      </c>
      <c r="B36" s="15" t="s">
        <v>177</v>
      </c>
      <c r="C36" s="15" t="s">
        <v>178</v>
      </c>
      <c r="D36" s="15" t="s">
        <v>208</v>
      </c>
      <c r="E36" s="16">
        <v>0.04</v>
      </c>
      <c r="F36" s="15" t="s">
        <v>180</v>
      </c>
      <c r="G36" s="15" t="s">
        <v>209</v>
      </c>
      <c r="H36" s="15" t="s">
        <v>210</v>
      </c>
      <c r="I36" s="15"/>
      <c r="J36" s="17" t="s">
        <v>183</v>
      </c>
      <c r="K36" s="17" t="s">
        <v>211</v>
      </c>
      <c r="L36" s="19">
        <v>0</v>
      </c>
      <c r="M36" s="20">
        <v>1</v>
      </c>
      <c r="N36" s="20">
        <v>1</v>
      </c>
      <c r="O36" s="20">
        <v>0</v>
      </c>
      <c r="P36" s="20">
        <v>1</v>
      </c>
      <c r="Q36" s="15" t="s">
        <v>86</v>
      </c>
      <c r="R36" s="15" t="s">
        <v>212</v>
      </c>
      <c r="S36" s="15" t="s">
        <v>213</v>
      </c>
      <c r="T36" s="15" t="s">
        <v>195</v>
      </c>
      <c r="U36" s="15" t="s">
        <v>213</v>
      </c>
      <c r="V36" s="46" t="s">
        <v>63</v>
      </c>
      <c r="W36" s="47" t="s">
        <v>63</v>
      </c>
      <c r="X36" s="47" t="s">
        <v>63</v>
      </c>
      <c r="Y36" s="64" t="s">
        <v>64</v>
      </c>
      <c r="Z36" s="64" t="s">
        <v>63</v>
      </c>
      <c r="AA36" s="46">
        <f t="shared" si="13"/>
        <v>1</v>
      </c>
      <c r="AB36" s="48">
        <v>1</v>
      </c>
      <c r="AC36" s="69">
        <f t="shared" ref="AC36:AC37" si="14">IF(AB36/AA36&gt;100%,100%,AB36/AA36)</f>
        <v>1</v>
      </c>
      <c r="AD36" s="94" t="s">
        <v>266</v>
      </c>
      <c r="AE36" s="95" t="s">
        <v>267</v>
      </c>
      <c r="AF36" s="16">
        <f t="shared" si="1"/>
        <v>1</v>
      </c>
      <c r="AG36" s="15"/>
      <c r="AH36" s="15"/>
      <c r="AI36" s="15"/>
      <c r="AJ36" s="15"/>
      <c r="AK36" s="16">
        <f t="shared" si="2"/>
        <v>0</v>
      </c>
      <c r="AL36" s="15"/>
      <c r="AM36" s="15"/>
      <c r="AN36" s="15"/>
      <c r="AO36" s="15"/>
      <c r="AP36" s="48">
        <f t="shared" si="3"/>
        <v>1</v>
      </c>
      <c r="AQ36" s="48">
        <f>100%*50%</f>
        <v>0.5</v>
      </c>
      <c r="AR36" s="69">
        <f t="shared" si="11"/>
        <v>0.5</v>
      </c>
      <c r="AS36" s="94" t="s">
        <v>266</v>
      </c>
    </row>
    <row r="37" spans="1:45" ht="120" x14ac:dyDescent="0.25">
      <c r="A37" s="15">
        <v>5</v>
      </c>
      <c r="B37" s="15" t="s">
        <v>214</v>
      </c>
      <c r="C37" s="15" t="s">
        <v>215</v>
      </c>
      <c r="D37" s="15" t="s">
        <v>216</v>
      </c>
      <c r="E37" s="16">
        <v>0.04</v>
      </c>
      <c r="F37" s="15" t="s">
        <v>180</v>
      </c>
      <c r="G37" s="15" t="s">
        <v>217</v>
      </c>
      <c r="H37" s="15" t="s">
        <v>218</v>
      </c>
      <c r="I37" s="15"/>
      <c r="J37" s="17" t="s">
        <v>219</v>
      </c>
      <c r="K37" s="17" t="s">
        <v>220</v>
      </c>
      <c r="L37" s="18">
        <v>0.33</v>
      </c>
      <c r="M37" s="18">
        <v>0.67</v>
      </c>
      <c r="N37" s="18">
        <v>1</v>
      </c>
      <c r="O37" s="18">
        <v>0</v>
      </c>
      <c r="P37" s="18">
        <v>1</v>
      </c>
      <c r="Q37" s="15" t="s">
        <v>86</v>
      </c>
      <c r="R37" s="15" t="s">
        <v>221</v>
      </c>
      <c r="S37" s="15" t="s">
        <v>222</v>
      </c>
      <c r="T37" s="15" t="s">
        <v>223</v>
      </c>
      <c r="U37" s="15" t="s">
        <v>222</v>
      </c>
      <c r="V37" s="46">
        <f>L37</f>
        <v>0.33</v>
      </c>
      <c r="W37" s="49">
        <v>0.93010000000000004</v>
      </c>
      <c r="X37" s="48">
        <v>1</v>
      </c>
      <c r="Y37" s="64" t="s">
        <v>224</v>
      </c>
      <c r="Z37" s="64" t="s">
        <v>225</v>
      </c>
      <c r="AA37" s="46">
        <f t="shared" si="13"/>
        <v>0.67</v>
      </c>
      <c r="AB37" s="96">
        <v>0.98099999999999998</v>
      </c>
      <c r="AC37" s="69">
        <f t="shared" si="14"/>
        <v>1</v>
      </c>
      <c r="AD37" s="94" t="s">
        <v>268</v>
      </c>
      <c r="AE37" s="95" t="s">
        <v>269</v>
      </c>
      <c r="AF37" s="16">
        <f t="shared" si="1"/>
        <v>1</v>
      </c>
      <c r="AG37" s="15"/>
      <c r="AH37" s="15"/>
      <c r="AI37" s="15"/>
      <c r="AJ37" s="15"/>
      <c r="AK37" s="16">
        <f t="shared" si="2"/>
        <v>0</v>
      </c>
      <c r="AL37" s="15"/>
      <c r="AM37" s="15"/>
      <c r="AN37" s="15"/>
      <c r="AO37" s="15"/>
      <c r="AP37" s="48">
        <f t="shared" si="3"/>
        <v>1</v>
      </c>
      <c r="AQ37" s="96">
        <v>0.98099999999999998</v>
      </c>
      <c r="AR37" s="69">
        <f t="shared" si="11"/>
        <v>0.98099999999999998</v>
      </c>
      <c r="AS37" s="94" t="s">
        <v>268</v>
      </c>
    </row>
    <row r="38" spans="1:45" s="33" customFormat="1" ht="15.75" x14ac:dyDescent="0.25">
      <c r="A38" s="12"/>
      <c r="B38" s="12"/>
      <c r="C38" s="12"/>
      <c r="D38" s="21" t="s">
        <v>226</v>
      </c>
      <c r="E38" s="22">
        <f>SUM(E33:E37)</f>
        <v>0.2</v>
      </c>
      <c r="F38" s="21"/>
      <c r="G38" s="21"/>
      <c r="H38" s="21"/>
      <c r="I38" s="21"/>
      <c r="J38" s="21"/>
      <c r="K38" s="21"/>
      <c r="L38" s="23">
        <f>AVERAGE(L34:L37)</f>
        <v>0.33250000000000002</v>
      </c>
      <c r="M38" s="23">
        <f>AVERAGE(M34:M37)</f>
        <v>0.91749999999999998</v>
      </c>
      <c r="N38" s="23">
        <f>AVERAGE(N34:N37)</f>
        <v>1</v>
      </c>
      <c r="O38" s="23">
        <f>AVERAGE(O34:O37)</f>
        <v>0.5</v>
      </c>
      <c r="P38" s="23">
        <f>AVERAGE(P34:P37)</f>
        <v>1</v>
      </c>
      <c r="Q38" s="21"/>
      <c r="R38" s="12"/>
      <c r="S38" s="12"/>
      <c r="T38" s="12"/>
      <c r="U38" s="12"/>
      <c r="V38" s="50"/>
      <c r="W38" s="50"/>
      <c r="X38" s="50">
        <f>AVERAGE(X33:X37)*20%</f>
        <v>0.2</v>
      </c>
      <c r="Y38" s="63"/>
      <c r="Z38" s="63"/>
      <c r="AA38" s="92"/>
      <c r="AB38" s="50"/>
      <c r="AC38" s="107">
        <f>AVERAGE(AC33:AC37)*20%</f>
        <v>0.19431200000000001</v>
      </c>
      <c r="AD38" s="12"/>
      <c r="AE38" s="12"/>
      <c r="AF38" s="23"/>
      <c r="AG38" s="50"/>
      <c r="AH38" s="50" t="e">
        <f>AVERAGE(AH33:AH37)*20%</f>
        <v>#DIV/0!</v>
      </c>
      <c r="AI38" s="12"/>
      <c r="AJ38" s="12"/>
      <c r="AK38" s="23"/>
      <c r="AL38" s="50"/>
      <c r="AM38" s="50" t="e">
        <f>AVERAGE(AM33:AM37)*20%</f>
        <v>#DIV/0!</v>
      </c>
      <c r="AN38" s="12"/>
      <c r="AO38" s="12"/>
      <c r="AP38" s="50"/>
      <c r="AQ38" s="50"/>
      <c r="AR38" s="107">
        <f>AVERAGE(AR33:AR37)*20%</f>
        <v>0.11521469600000001</v>
      </c>
      <c r="AS38" s="63"/>
    </row>
    <row r="39" spans="1:45" s="34" customFormat="1" ht="18.75" x14ac:dyDescent="0.3">
      <c r="A39" s="24"/>
      <c r="B39" s="24"/>
      <c r="C39" s="24"/>
      <c r="D39" s="25" t="s">
        <v>227</v>
      </c>
      <c r="E39" s="26">
        <f>E38+E32</f>
        <v>1.0000000000000009</v>
      </c>
      <c r="F39" s="24"/>
      <c r="G39" s="24"/>
      <c r="H39" s="24"/>
      <c r="I39" s="24"/>
      <c r="J39" s="24"/>
      <c r="K39" s="24"/>
      <c r="L39" s="27">
        <f>L38*$E$38</f>
        <v>6.6500000000000004E-2</v>
      </c>
      <c r="M39" s="27">
        <f>M38*$E$38</f>
        <v>0.1835</v>
      </c>
      <c r="N39" s="27">
        <f>N38*$E$38</f>
        <v>0.2</v>
      </c>
      <c r="O39" s="27">
        <f>O38*$E$38</f>
        <v>0.1</v>
      </c>
      <c r="P39" s="27">
        <f>P38*$E$38</f>
        <v>0.2</v>
      </c>
      <c r="Q39" s="24"/>
      <c r="R39" s="24"/>
      <c r="S39" s="24"/>
      <c r="T39" s="24"/>
      <c r="U39" s="24"/>
      <c r="V39" s="51"/>
      <c r="W39" s="51"/>
      <c r="X39" s="52">
        <f>X32+X38</f>
        <v>0.82203851674641149</v>
      </c>
      <c r="Y39" s="65"/>
      <c r="Z39" s="65"/>
      <c r="AA39" s="93"/>
      <c r="AB39" s="51"/>
      <c r="AC39" s="109">
        <f>AC32+AC38</f>
        <v>0.8694318272850623</v>
      </c>
      <c r="AD39" s="24"/>
      <c r="AE39" s="24"/>
      <c r="AF39" s="27"/>
      <c r="AG39" s="51"/>
      <c r="AH39" s="52" t="e">
        <f>AH32+AH38</f>
        <v>#DIV/0!</v>
      </c>
      <c r="AI39" s="24"/>
      <c r="AJ39" s="24"/>
      <c r="AK39" s="27"/>
      <c r="AL39" s="51"/>
      <c r="AM39" s="52" t="e">
        <f>AM32+AM38</f>
        <v>#DIV/0!</v>
      </c>
      <c r="AN39" s="24"/>
      <c r="AO39" s="24"/>
      <c r="AP39" s="51"/>
      <c r="AQ39" s="51"/>
      <c r="AR39" s="109">
        <f>AR32+AR38</f>
        <v>0.49398047195206068</v>
      </c>
      <c r="AS39" s="65"/>
    </row>
  </sheetData>
  <sheetProtection formatColumns="0" formatRows="0"/>
  <mergeCells count="25">
    <mergeCell ref="A11:B12"/>
    <mergeCell ref="C11:C13"/>
    <mergeCell ref="D11:P12"/>
    <mergeCell ref="A1:K1"/>
    <mergeCell ref="L1:P1"/>
    <mergeCell ref="A2:P2"/>
    <mergeCell ref="A4:B8"/>
    <mergeCell ref="C4:D8"/>
    <mergeCell ref="H9:K9"/>
    <mergeCell ref="AP11:AS11"/>
    <mergeCell ref="AP12:AS12"/>
    <mergeCell ref="V11:Z11"/>
    <mergeCell ref="F4:K4"/>
    <mergeCell ref="H5:K5"/>
    <mergeCell ref="H6:K6"/>
    <mergeCell ref="H7:K7"/>
    <mergeCell ref="H8:K8"/>
    <mergeCell ref="Q11:U12"/>
    <mergeCell ref="V12:Z12"/>
    <mergeCell ref="AA12:AE12"/>
    <mergeCell ref="AF12:AJ12"/>
    <mergeCell ref="AK12:AO12"/>
    <mergeCell ref="AK11:AO11"/>
    <mergeCell ref="AF11:AJ11"/>
    <mergeCell ref="AA11:AE11"/>
  </mergeCells>
  <dataValidations xWindow="912" yWindow="513" count="3">
    <dataValidation allowBlank="1" showInputMessage="1" showErrorMessage="1" error="Escriba un texto " promptTitle="Cualquier contenido" sqref="F14:F31"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19:AS22 Y31 Y16:Y28 AD31 Y33:Y37 AS24:AS26 AS17 AD17 AD19:AD26" xr:uid="{00000000-0002-0000-0000-000001000000}">
      <formula1>2500</formula1>
    </dataValidation>
    <dataValidation type="textLength" operator="lessThanOrEqual" allowBlank="1" showInputMessage="1" showErrorMessage="1" error="Por favor ingresar menos de 2.500 caracteres, incluyendo espacios." sqref="X28:X31 Z16:Z31 W16:W31 Y27 X16:X26 Z33:Z37 W33:X37 AE17:AE25" xr:uid="{00000000-0002-0000-0000-000002000000}">
      <formula1>2500</formula1>
    </dataValidation>
  </dataValidations>
  <hyperlinks>
    <hyperlink ref="AE35" r:id="rId1" xr:uid="{B6792EE4-244C-40AE-B649-565CA6EEA776}"/>
  </hyperlinks>
  <pageMargins left="0.7" right="0.7" top="0.75" bottom="0.75" header="0.3" footer="0.3"/>
  <pageSetup paperSize="9" orientation="portrait" r:id="rId2"/>
  <ignoredErrors>
    <ignoredError sqref="N38:P38"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Santa Fe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2021-08-26T19:22:35Z</dcterms:modified>
  <cp:category/>
  <cp:contentStatus/>
</cp:coreProperties>
</file>