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22" documentId="8_{B6C33558-C4A3-4471-8A1B-A2DBDD26FD95}" xr6:coauthVersionLast="47" xr6:coauthVersionMax="47" xr10:uidLastSave="{4983C267-FE03-4B00-9FF6-AA4D52CB7B92}"/>
  <workbookProtection lockStructure="1"/>
  <bookViews>
    <workbookView xWindow="-120" yWindow="-120" windowWidth="29040" windowHeight="15840" xr2:uid="{00000000-000D-0000-FFFF-FFFF00000000}"/>
  </bookViews>
  <sheets>
    <sheet name="2021 Usaqué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23" i="1"/>
  <c r="AQ36" i="1"/>
  <c r="AB36" i="1" l="1"/>
  <c r="AQ35" i="1"/>
  <c r="AQ33" i="1"/>
  <c r="AQ31" i="1"/>
  <c r="AQ30" i="1"/>
  <c r="AQ29" i="1"/>
  <c r="AQ28" i="1"/>
  <c r="AQ26" i="1"/>
  <c r="AQ25" i="1"/>
  <c r="AQ24" i="1"/>
  <c r="AQ22" i="1" l="1"/>
  <c r="AQ21" i="1"/>
  <c r="AR21" i="1" l="1"/>
  <c r="AC17" i="1"/>
  <c r="AA17" i="1"/>
  <c r="AF14" i="1"/>
  <c r="AH14" i="1" s="1"/>
  <c r="AM38" i="1"/>
  <c r="AM28" i="1"/>
  <c r="AM24" i="1"/>
  <c r="AM20" i="1"/>
  <c r="AM16" i="1"/>
  <c r="AH38" i="1"/>
  <c r="AC29" i="1"/>
  <c r="X38" i="1"/>
  <c r="X30" i="1"/>
  <c r="X26" i="1"/>
  <c r="AP15" i="1"/>
  <c r="AR15" i="1" s="1"/>
  <c r="E30" i="1"/>
  <c r="E29" i="1"/>
  <c r="E28" i="1"/>
  <c r="E27" i="1"/>
  <c r="E26" i="1"/>
  <c r="E25" i="1"/>
  <c r="E24" i="1"/>
  <c r="E23" i="1"/>
  <c r="E22" i="1"/>
  <c r="E21" i="1"/>
  <c r="E20" i="1"/>
  <c r="E19" i="1"/>
  <c r="E18" i="1"/>
  <c r="E17" i="1"/>
  <c r="E16" i="1"/>
  <c r="E15" i="1"/>
  <c r="E32" i="1" s="1"/>
  <c r="E39" i="1" s="1"/>
  <c r="E14" i="1"/>
  <c r="E31" i="1"/>
  <c r="P28" i="1"/>
  <c r="P27" i="1"/>
  <c r="P26" i="1"/>
  <c r="AP26" i="1" s="1"/>
  <c r="AR26" i="1" s="1"/>
  <c r="P25" i="1"/>
  <c r="AP25" i="1" s="1"/>
  <c r="AR25" i="1" s="1"/>
  <c r="P24" i="1"/>
  <c r="L38" i="1"/>
  <c r="P38" i="1"/>
  <c r="P39" i="1" s="1"/>
  <c r="O38" i="1"/>
  <c r="N38" i="1"/>
  <c r="M38" i="1"/>
  <c r="AP37" i="1"/>
  <c r="AR37" i="1" s="1"/>
  <c r="AP36" i="1"/>
  <c r="AR36" i="1" s="1"/>
  <c r="AP35" i="1"/>
  <c r="AR35" i="1" s="1"/>
  <c r="AP34" i="1"/>
  <c r="AR34" i="1" s="1"/>
  <c r="AP33" i="1"/>
  <c r="AR33" i="1" s="1"/>
  <c r="AP31" i="1"/>
  <c r="AR31" i="1" s="1"/>
  <c r="AP30" i="1"/>
  <c r="AR30" i="1" s="1"/>
  <c r="AP29" i="1"/>
  <c r="AR29" i="1" s="1"/>
  <c r="AP28" i="1"/>
  <c r="AR28" i="1" s="1"/>
  <c r="AP27" i="1"/>
  <c r="AR27" i="1" s="1"/>
  <c r="AP24" i="1"/>
  <c r="AR24" i="1" s="1"/>
  <c r="AP23" i="1"/>
  <c r="AR23" i="1" s="1"/>
  <c r="AP22" i="1"/>
  <c r="AR22" i="1" s="1"/>
  <c r="AP21" i="1"/>
  <c r="AP20" i="1"/>
  <c r="AR20" i="1" s="1"/>
  <c r="AP19" i="1"/>
  <c r="AR19" i="1" s="1"/>
  <c r="AP18" i="1"/>
  <c r="AR18" i="1" s="1"/>
  <c r="AP17" i="1"/>
  <c r="AR17" i="1" s="1"/>
  <c r="AP16" i="1"/>
  <c r="AR16" i="1" s="1"/>
  <c r="AP14" i="1"/>
  <c r="AR14" i="1" s="1"/>
  <c r="AK37" i="1"/>
  <c r="AK36" i="1"/>
  <c r="AK35" i="1"/>
  <c r="AK34" i="1"/>
  <c r="AK33" i="1"/>
  <c r="AK31" i="1"/>
  <c r="AM31" i="1" s="1"/>
  <c r="AK30" i="1"/>
  <c r="AM30" i="1" s="1"/>
  <c r="AK29" i="1"/>
  <c r="AM29" i="1" s="1"/>
  <c r="AK28" i="1"/>
  <c r="AK27" i="1"/>
  <c r="AM27" i="1" s="1"/>
  <c r="AK26" i="1"/>
  <c r="AM26" i="1" s="1"/>
  <c r="AK25" i="1"/>
  <c r="AM25" i="1" s="1"/>
  <c r="AK24" i="1"/>
  <c r="AK23" i="1"/>
  <c r="AM23" i="1" s="1"/>
  <c r="AK22" i="1"/>
  <c r="AM22" i="1" s="1"/>
  <c r="AK21" i="1"/>
  <c r="AM21" i="1" s="1"/>
  <c r="AK20" i="1"/>
  <c r="AK19" i="1"/>
  <c r="AM19" i="1" s="1"/>
  <c r="AK18" i="1"/>
  <c r="AM18" i="1" s="1"/>
  <c r="AK17" i="1"/>
  <c r="AM17" i="1" s="1"/>
  <c r="AK16" i="1"/>
  <c r="AK15" i="1"/>
  <c r="AM15" i="1" s="1"/>
  <c r="AK14" i="1"/>
  <c r="AM14" i="1" s="1"/>
  <c r="AF37" i="1"/>
  <c r="AF36" i="1"/>
  <c r="AF35" i="1"/>
  <c r="AF34" i="1"/>
  <c r="AF33" i="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37" i="1"/>
  <c r="AC37" i="1" s="1"/>
  <c r="AA36" i="1"/>
  <c r="AC36" i="1" s="1"/>
  <c r="AA35" i="1"/>
  <c r="AC35" i="1" s="1"/>
  <c r="AA34" i="1"/>
  <c r="AC34" i="1" s="1"/>
  <c r="AA33" i="1"/>
  <c r="AC33" i="1" s="1"/>
  <c r="AA31" i="1"/>
  <c r="AC31" i="1" s="1"/>
  <c r="AA30" i="1"/>
  <c r="AC30" i="1" s="1"/>
  <c r="AA29" i="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6" i="1"/>
  <c r="AC16" i="1" s="1"/>
  <c r="AA14" i="1"/>
  <c r="AC14" i="1" s="1"/>
  <c r="V37" i="1"/>
  <c r="V34" i="1"/>
  <c r="V31" i="1"/>
  <c r="X31" i="1" s="1"/>
  <c r="V30" i="1"/>
  <c r="V29" i="1"/>
  <c r="V28" i="1"/>
  <c r="X28" i="1" s="1"/>
  <c r="V27" i="1"/>
  <c r="V26" i="1"/>
  <c r="V25" i="1"/>
  <c r="V24" i="1"/>
  <c r="V23" i="1"/>
  <c r="V22" i="1"/>
  <c r="X22" i="1" s="1"/>
  <c r="V21" i="1"/>
  <c r="X21" i="1" s="1"/>
  <c r="V20" i="1"/>
  <c r="V19" i="1"/>
  <c r="V18" i="1"/>
  <c r="V17" i="1"/>
  <c r="V16" i="1"/>
  <c r="E38" i="1"/>
  <c r="M39" i="1" s="1"/>
  <c r="L39" i="1"/>
  <c r="O39" i="1"/>
  <c r="N39" i="1"/>
  <c r="AH32" i="1" l="1"/>
  <c r="AH39" i="1" s="1"/>
  <c r="AM32" i="1"/>
  <c r="AM39" i="1" s="1"/>
  <c r="X32" i="1"/>
  <c r="X39" i="1" s="1"/>
  <c r="AR38" i="1"/>
  <c r="AR32" i="1"/>
  <c r="AR39" i="1" s="1"/>
  <c r="AC38" i="1"/>
  <c r="AC32" i="1"/>
  <c r="AC39" i="1" l="1"/>
</calcChain>
</file>

<file path=xl/sharedStrings.xml><?xml version="1.0" encoding="utf-8"?>
<sst xmlns="http://schemas.openxmlformats.org/spreadsheetml/2006/main" count="512" uniqueCount="271">
  <si>
    <r>
      <t xml:space="preserve">ALCALDÍA LOCAL DE </t>
    </r>
    <r>
      <rPr>
        <b/>
        <u/>
        <sz val="11"/>
        <color indexed="8"/>
        <rFont val="Calibri Light"/>
        <family val="2"/>
      </rPr>
      <t>USAQUÉN</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</si>
  <si>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 xml:space="preserve">Caso HOLA: </t>
    </r>
    <r>
      <rPr>
        <sz val="11"/>
        <color indexed="8"/>
        <rFont val="Calibri Light"/>
        <family val="2"/>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</si>
  <si>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</si>
  <si>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</si>
  <si>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</si>
  <si>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</si>
  <si>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</si>
  <si>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</si>
  <si>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</si>
  <si>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9 de marzo de 2021</t>
  </si>
  <si>
    <t>Publicación del plan de gestión aprobado. Caso HOLA: 160208</t>
  </si>
  <si>
    <t>28 de abril de 2021</t>
  </si>
  <si>
    <t>Para el primer trimestre de la vigencia 2021, el plan de gestión de la Alcaldía Local alcanzó un nivel de desempeño del 68% de acuerdo con lo programado, y del 28%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</si>
  <si>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</si>
  <si>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</si>
  <si>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</si>
  <si>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</si>
  <si>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</si>
  <si>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</si>
  <si>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</si>
  <si>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</si>
  <si>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</si>
  <si>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</si>
  <si>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</si>
  <si>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</si>
  <si>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</si>
  <si>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</si>
  <si>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</si>
  <si>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</si>
  <si>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</si>
  <si>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</si>
  <si>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</si>
  <si>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</si>
  <si>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</si>
  <si>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</si>
  <si>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</si>
  <si>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</si>
  <si>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</si>
  <si>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</si>
  <si>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</si>
  <si>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</si>
  <si>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</si>
  <si>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</si>
  <si>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</si>
  <si>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</si>
  <si>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</si>
  <si>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</si>
  <si>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</si>
  <si>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</si>
  <si>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</si>
  <si>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</si>
  <si>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</si>
  <si>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1. Cumplir el 10% de las metas del Plan de Desarrollo Local (metas entregadas)</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</si>
  <si>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</si>
  <si>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</si>
  <si>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</si>
  <si>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</si>
  <si>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</si>
  <si>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</si>
  <si>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</si>
  <si>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</si>
  <si>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</si>
  <si>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</si>
  <si>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</si>
  <si>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primer trimestre</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</si>
  <si>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</si>
  <si>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</si>
  <si>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</si>
  <si>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</si>
  <si>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</si>
  <si>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</si>
  <si>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</si>
  <si>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</si>
  <si>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</si>
  <si>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</si>
  <si>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</si>
  <si>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</si>
  <si>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</si>
  <si>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</si>
  <si>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Hasta el momento no se han comprometido recursos relacionados con las Propuestas ganadoras de Presupuestos Participativos, los procesos se encuentran en fase precontractual.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</si>
  <si>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respuesta  vía correo electrónico de la Dirección para la Gestión del Desarrollo Local</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</si>
  <si>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</si>
  <si>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</si>
  <si>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</si>
  <si>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</si>
  <si>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</si>
  <si>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</si>
  <si>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</si>
  <si>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</si>
  <si>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Reporte realizado desde Nivel Central</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</si>
  <si>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</si>
  <si>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</si>
  <si>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</si>
  <si>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</si>
  <si>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</si>
  <si>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</si>
  <si>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</si>
  <si>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</si>
  <si>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</si>
  <si>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</si>
  <si>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</si>
  <si>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</si>
  <si>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</si>
  <si>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</si>
  <si>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</si>
  <si>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</si>
  <si>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</si>
  <si>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</si>
  <si>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</si>
  <si>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</si>
  <si>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</si>
  <si>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</si>
  <si>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</si>
  <si>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</si>
  <si>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</si>
  <si>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Sin reporte de avance.</t>
  </si>
  <si>
    <t>No aplica</t>
  </si>
  <si>
    <t>Inspección, vigilancia y control</t>
  </si>
  <si>
    <r>
      <t xml:space="preserve">11. Impulsar procesalmente (avocar, rechazar, enviar al competente y todo lo que derive del desarrollo de la actuación), </t>
    </r>
    <r>
      <rPr>
        <b/>
        <sz val="11"/>
        <color indexed="8"/>
        <rFont val="Calibri Light"/>
        <family val="2"/>
      </rPr>
      <t>9.600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</si>
  <si>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</si>
  <si>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</si>
  <si>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</si>
  <si>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</si>
  <si>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</si>
  <si>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</si>
  <si>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r>
      <t xml:space="preserve">12. Proferir </t>
    </r>
    <r>
      <rPr>
        <b/>
        <sz val="11"/>
        <color indexed="8"/>
        <rFont val="Calibri Light"/>
        <family val="2"/>
      </rPr>
      <t>4.800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</si>
  <si>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</si>
  <si>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</si>
  <si>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</si>
  <si>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Fallos de fondo de actuaciones de policía</t>
  </si>
  <si>
    <t>Se emitieron 2.972 fallos en primera instancia</t>
  </si>
  <si>
    <r>
      <t xml:space="preserve">13. Terminar (archivar), </t>
    </r>
    <r>
      <rPr>
        <b/>
        <sz val="11"/>
        <color indexed="8"/>
        <rFont val="Calibri Light"/>
        <family val="2"/>
      </rPr>
      <t xml:space="preserve">344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</si>
  <si>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</si>
  <si>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</si>
  <si>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</si>
  <si>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</si>
  <si>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</si>
  <si>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Se terminaron 8 actuaciones administrativas</t>
  </si>
  <si>
    <r>
      <t xml:space="preserve">14. Terminar </t>
    </r>
    <r>
      <rPr>
        <b/>
        <sz val="11"/>
        <color indexed="8"/>
        <rFont val="Calibri Light"/>
        <family val="2"/>
      </rPr>
      <t>903</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</si>
  <si>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</si>
  <si>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</si>
  <si>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Para el I Trimestre no se terminaron actuaciones administrativas en primera instancia</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</si>
  <si>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</si>
  <si>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</si>
  <si>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</si>
  <si>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</si>
  <si>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</si>
  <si>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</si>
  <si>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6 operativos en materia de Espacio Público en los meses de enero y marzo de 2021. Se realizaron 6 operativos en las siguientes fechas: 08, 24 de enero y 12, 17, 18 y 25 de marzo</t>
  </si>
  <si>
    <t>Actas de visita y cuadro de seguimiento a Operativos</t>
  </si>
  <si>
    <t>Se llevaron a cabo 9 Acciones de control u operativos en materia de Espacio Público en segundo trimestre de 2021</t>
  </si>
  <si>
    <t>Actas de reuniòn adjuntas en carpeta compartida</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</si>
  <si>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</si>
  <si>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</si>
  <si>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</si>
  <si>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28 operativos en materia de actividad económica en los meses de enero, febrero y marzo de 2021, en las siguientes fechas: 5,6,7,8,9,10,12,13,14,15,16,22,31 de enero
 4,5,12,24,25,26 de febrero
 5,11,18,23,24 de marzo</t>
  </si>
  <si>
    <t>Se llevaron a cabo 49 Acciones de control u operativos en materia actividad económica en segundo trimestre de 2021</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</si>
  <si>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</si>
  <si>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</si>
  <si>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</si>
  <si>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Se realizó un operativo en el mes de febrero</t>
  </si>
  <si>
    <t>Acta de visita y cuadro de seguimiento a operativos</t>
  </si>
  <si>
    <t>Se llevaron a cabo 4 Acciones de control u operativos en materia de obras y urbanismo en segundo trimestre de 2021</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</si>
  <si>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</si>
  <si>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</si>
  <si>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</si>
  <si>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Se realizó un operativo en el mes de enero, 3 operativos en el mes de febrero y cuatro operativos en el mes de marzo, en las siguientes fechas: 26 de enero, 1,9, 15 de febrero, 4, 16,18,24 de marzo</t>
  </si>
  <si>
    <t>Se llevaron a cabo 14 Acciones de control u operativos en materia Cerros orientales en segundo trimestre de 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</si>
  <si>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</si>
  <si>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</si>
  <si>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</si>
  <si>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</si>
  <si>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</si>
  <si>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</si>
  <si>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</si>
  <si>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</si>
  <si>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</si>
  <si>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</si>
  <si>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</si>
  <si>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</si>
  <si>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</si>
  <si>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</si>
  <si>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</si>
  <si>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</si>
  <si>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</si>
  <si>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</si>
  <si>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</si>
  <si>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</si>
  <si>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</si>
  <si>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de Usaquen tiene 7 acciones de mejora sin vencimiento. </t>
  </si>
  <si>
    <t>Reporte MIMEN</t>
  </si>
  <si>
    <t xml:space="preserve">Comunicación Estratégica </t>
  </si>
  <si>
    <t>MT 3.Mantener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</si>
  <si>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</si>
  <si>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</si>
  <si>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</si>
  <si>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</si>
  <si>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</si>
  <si>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</si>
  <si>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</si>
  <si>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</si>
  <si>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</si>
  <si>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</si>
  <si>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</si>
  <si>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</si>
  <si>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</si>
  <si>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</si>
  <si>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</si>
  <si>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</si>
  <si>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</si>
  <si>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2020)*100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</si>
  <si>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</si>
  <si>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</si>
  <si>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</si>
  <si>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</si>
  <si>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</si>
  <si>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de Usaquen ha atendido 15.619 requerimientos de la ciudadania de las vigencias 2017 a 2020. </t>
  </si>
  <si>
    <t>Reporte CRONOS SGI</t>
  </si>
  <si>
    <t>Total metas transversales (20%)</t>
  </si>
  <si>
    <t xml:space="preserve">Total plan de gestión </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</si>
  <si>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100%.</t>
  </si>
  <si>
    <t>Reporte de ejecución de la meta aportado por la DGDL proveniente de la MUSI</t>
  </si>
  <si>
    <t>No programada para el II trimestre de 2021</t>
  </si>
  <si>
    <t>Reporte de seguimiento presentado por la Dirección para la Gestión del Desarrollo Local.</t>
  </si>
  <si>
    <t>La Alcaldía Local Usaquen giró $10.921.117.943 del presupuesto comprometido constituido como obligaciones por pagar de la vigencia 2020, equivalente a $20.247.201.945, lo cual corresponde a un nivel de ejecución del 53,94% para la vigencia y un logro superior a lo esperado para el periodo.</t>
  </si>
  <si>
    <t>La Alcaldía Local Usaquen giró $10.921.117.943 del presupuesto comprometido constituido como obligaciones por pagar de la vigencia 2020, equivalente a $20.247.201.945, lo cual corresponde a un nivel de ejecución acumulado del 53,94% para la vigencia.</t>
  </si>
  <si>
    <t xml:space="preserve">Para el II Trimestre de 2021, la Alcaldía Local Usaquen ha girado $4.159.607.170 del presupuesto comprometido constituido como obligaciones por pagar de la vigencia 2019 y anteriores, equivalente a $6.772.669.830, lo que representa un nivel de ejecución del 61,42% para la vigencia y un logro superior a lo esperado para el periodo. </t>
  </si>
  <si>
    <t xml:space="preserve">Para el II Trimestre de 2021, la Alcaldía Local Usaquen ha girado $4.159.607.170 del presupuesto comprometido constituido como obligaciones por pagar de la vigencia 2019 y anteriores, equivalente a $6.772.669.830, lo que representa un nivel de ejecución del 61,42% para la vigencia y un logro superior a la meta. </t>
  </si>
  <si>
    <t xml:space="preserve">Para el II Trimestre de 2021, la Alcaldía Local de Usaquen comprometió $19.509.178.902 de los $36.045.534.000 asignados como presupuesto de inversión directa de la vigencia 2021, lo que representa un nivel de ejecución del 54,12%  y un logro superior a lo esperado para el periodo. </t>
  </si>
  <si>
    <t>Para el II Trimestre de 2021, la Alcaldía Local de Usaquen comprometió $19.509.178.902 de los $36.045.534.000 asignados como presupuesto de inversión directa de la vigencia 2021, lo que representa un nivel de ejecución acumulado del 54,12%.</t>
  </si>
  <si>
    <t xml:space="preserve">La Alcaldía Local de Usaquen giró $8.605.082.489 de los $36.045.534.000 asignados como depuesto disponible de inversión directa de la vigencia, lo que representa un nivel de ejecución acumulado del 23,87%. </t>
  </si>
  <si>
    <t xml:space="preserve">La Alcaldía Local de Usaquen ha registrado 215 contratos de los 252 contratos publicados en la plataforma SECOP I y II, lo que representa un nivel de cumplimiento del 85,32% para el periodo. </t>
  </si>
  <si>
    <t xml:space="preserve">La alcaldía local de Usaquen tiene un avance acumulado del 44,37% del registro en el sistema SIPSE Local, de los contratos publicados en la plataforma SECOP I y II de la vigencia. </t>
  </si>
  <si>
    <t xml:space="preserve">La Alcaldía Local de Usaquen ha registrado 181 contratos en SIPSE Local en estado ejecución de los 236 contratos registrados en SIPSE Local, lo que equivale al 76,69%. </t>
  </si>
  <si>
    <t xml:space="preserve">La alcaldía local de Usaquen tiene un avance acumulado del 29,17% de que los contratos celebrados se encuentren en estado ejecución dentro del sistema SIPSE Local. </t>
  </si>
  <si>
    <t>Reporte de seguimiento presentado por la Dirección para la Gestión Policiva</t>
  </si>
  <si>
    <t xml:space="preserve">En el segundo trimestre de 2021, la alcaldía local de Usaquén impulsó procesalmente 3289 expedientes a cargo de las inspecciones de policía, lo que representa un resultado superior a lo esperado para el periodo. </t>
  </si>
  <si>
    <t xml:space="preserve">Se atendieron 9903 expedientes con impulso procesal, superando la meta establecida.  </t>
  </si>
  <si>
    <t xml:space="preserve">En el segundo trimestre de 2021, la alcaldía local de Usaquén profirió 1658 fallos en primera instancia sobre los expedientes a cargo de las inspecciones de policía, lo que representa un resultado superior a lo esperado para el periodo. </t>
  </si>
  <si>
    <t>Se emitieron 4.630 fallos en primera instancia a 30 de junio de 2021.</t>
  </si>
  <si>
    <t xml:space="preserve">En el II trimestre de 2021, la alcaldía local de Usaquén terminó 228 actuaciones administrativas, lo que representa un resultado superior a lo esperado para el periodo. </t>
  </si>
  <si>
    <t>Se terminaron 236 actuaciones administrativas a 30 de junio de 2021.</t>
  </si>
  <si>
    <t xml:space="preserve">En el segundo trimestre de 2021, la alcaldía local de Usaquén terminó 89 actuaciones administrativas en primera instancia, lo que representa un resultado de 32,72% para el periodo. </t>
  </si>
  <si>
    <t>Se terminaron 89 actuaciones administrativas en primera instancia a 30 de junio de 2021.</t>
  </si>
  <si>
    <t>Actas de reunión adjuntas en carpeta compartida</t>
  </si>
  <si>
    <t>Se realizaron 15 operativos en materia de Espacio Público en el periodo de enero a junio de 2021.</t>
  </si>
  <si>
    <t>Se realizaron 77 operativos en materia de Actividad Económica en el periodo de enero a junio de 2021.</t>
  </si>
  <si>
    <t>Se realizaron 5 operativos en materia de Obras y Urbanismo en el periodo de enero a junio de 2021.</t>
  </si>
  <si>
    <t>Se realizaron 22 operativos en materia de cerros orientales en el periodo de enero a junio de 2021.</t>
  </si>
  <si>
    <t>Implementación del Sistema de Gestión Ambiental en un porcentaje de 84%, resultados obtenidos de la inspección ambiental realizada el 12 de abril de 2021, empleando el formato: PLE-PIN-F012 Formato inspecciones ambientales para verificación de implementación del plan institucional de gestión ambiental.</t>
  </si>
  <si>
    <t>Reporte de gestión ambiental OAP</t>
  </si>
  <si>
    <t>Reporte de acciones de mejora MIMEC.</t>
  </si>
  <si>
    <t>Implementación del Sistema de Gestión Ambiental en un porcentaje de 84%, resultados obtenidos de la inspección ambiental realizada el 12 de abril de 2021, empleando el formato: PLE-PIN-F012 Formato inspecciones ambientales para verificación de implementación del plan institucional de gestión ambiental. El logro acumulado a junio de 2021 es del 53%</t>
  </si>
  <si>
    <t>La Alcaldía Local Usaquen ha cumplido con 111 de los 115 requisitos de publicación de información en su página web, de acuerdo con lo previsto en la Ley 1712 de 2014, según lo informado por la Oficina Asesora de Comunicaciones de la SDG mediante memorando No. 20211400241773, lo que representa un avance del 96,52% para el II Trimestre de 2021</t>
  </si>
  <si>
    <t>http://www.usaquen.gov.co/tabla_archivos/107-registros-publicaciones</t>
  </si>
  <si>
    <t xml:space="preserve">Registro de asistencia Teams. </t>
  </si>
  <si>
    <t>La alcaldía local asistió a la capacitación brindada a los promotores de mejora, en la que se brindaron lineamientos sobre la gestión de riesgos, planes de mejora, planeación institucional y PAAC.</t>
  </si>
  <si>
    <t>Reporte de atención de requerimientos ciudadanos Subsecretaría de Gestión Institucional</t>
  </si>
  <si>
    <t xml:space="preserve">La Localidad de Usaquén ha atendido 17.070 requerimientos ciudadanos, de los 17.645 recibidos, lo que representa un 96,7% de gestión frente a la meta prevista. </t>
  </si>
  <si>
    <t>30 de julio de 2021</t>
  </si>
  <si>
    <t xml:space="preserve">Se atendieron 6614 expedientes con impulso procesal. </t>
  </si>
  <si>
    <t>La Alcaldía Local de Usaquen logró la ejecución de 4 propuestas ganadoras de presupuestos participativos (Fase II), de las 38 propuestas ganadoras.</t>
  </si>
  <si>
    <t>Reporte Dirección para la Gestión del Desarrollo Local</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</si>
  <si>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</si>
  <si>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Para el segundo trimestre de la vigencia 2021, el plan de gestión de la Alcaldía Local alcanzó un nivel de desempeño del 82,09% de acuerdo con lo programado, y del 47,06% acumulado para la vigencia.</t>
  </si>
  <si>
    <t xml:space="preserve">Se ha realizado el registro y actualización del 95% de la información en los módulos y funcionalidades en producción de SIPSE Local. </t>
  </si>
  <si>
    <t xml:space="preserve">SIPSE Local </t>
  </si>
  <si>
    <t xml:space="preserve">Se ha realizado el registro y actualización de la información en los módulos y funcionalidades en producción de SIPSE Local. </t>
  </si>
  <si>
    <t>El porcentaje muestra el avance en el cierre o cumplimiento de acciones asignadas en aplicativo MIMEC.</t>
  </si>
  <si>
    <t>24 de agosto de 2021</t>
  </si>
  <si>
    <t>Se realiza ajuste al reporte de la meta transversal de acciones de mejora, de acuerdo con los soportes suministrados por la Alcaldía Local y el registro disponible en MIMEC. El desempeño para el II Trimestre de 2021 es del 84,61% y del 48,08%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</si>
</sst>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sz val="14"/>
      <color theme="1"/>
      <name val="Calibri Light"/>
      <family val="2"/>
      <scheme val="major"/>
    </font>
    <font>
      <b/>
      <sz val="14"/>
      <color theme="1"/>
      <name val="Calibri Light"/>
      <family val="2"/>
      <scheme val="major"/>
    </font>
    <font>
      <sz val="12"/>
      <name val="Calibri Light"/>
      <family val="2"/>
      <scheme val="major"/>
    </font>
    <font>
      <b/>
      <sz val="12"/>
      <name val="Calibri Light"/>
      <family val="2"/>
      <scheme val="major"/>
    </font>
    <font>
      <b/>
      <sz val="11"/>
      <name val="Calibri Light"/>
      <family val="2"/>
    </font>
    <font>
      <sz val="11"/>
      <name val="Calibri Light"/>
      <family val="2"/>
    </font>
    <font>
      <b/>
      <sz val="1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45">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lef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10" fontId="9" fillId="2" borderId="1" xfId="0" applyNumberFormat="1" applyFont="1" applyFill="1" applyBorder="1" applyAlignment="1" applyProtection="1">
      <alignment wrapText="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lef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0" fontId="8" fillId="0" borderId="0" xfId="0" applyFont="1" applyAlignment="1" applyProtection="1">
      <alignment wrapText="1"/>
      <protection hidden="1"/>
    </xf>
    <xf numFmtId="9" fontId="10" fillId="0" borderId="1" xfId="0" applyNumberFormat="1" applyFont="1" applyBorder="1" applyAlignment="1" applyProtection="1">
      <alignment horizontal="right" vertical="top" wrapText="1"/>
      <protection hidden="1"/>
    </xf>
    <xf numFmtId="0" fontId="11" fillId="0" borderId="0" xfId="0" applyFont="1" applyAlignment="1" applyProtection="1">
      <alignment wrapText="1"/>
      <protection hidden="1"/>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locked="0"/>
    </xf>
    <xf numFmtId="9" fontId="5" fillId="0" borderId="1" xfId="2" applyFont="1" applyBorder="1" applyAlignment="1" applyProtection="1">
      <alignment horizontal="center" vertical="top" wrapText="1"/>
      <protection locked="0"/>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64"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vertical="center" wrapText="1"/>
      <protection hidden="1"/>
    </xf>
    <xf numFmtId="9" fontId="5" fillId="0" borderId="1" xfId="2" applyFont="1" applyBorder="1" applyAlignment="1">
      <alignment horizontal="right" vertical="top" wrapText="1"/>
    </xf>
    <xf numFmtId="10" fontId="5" fillId="0" borderId="1" xfId="2" applyNumberFormat="1" applyFont="1" applyBorder="1" applyAlignment="1">
      <alignment horizontal="center" vertical="top" wrapText="1"/>
    </xf>
    <xf numFmtId="1" fontId="5" fillId="0" borderId="1" xfId="0" applyNumberFormat="1" applyFont="1" applyBorder="1" applyAlignment="1">
      <alignment horizontal="right"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6"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top" wrapText="1"/>
      <protection hidden="1"/>
    </xf>
    <xf numFmtId="0" fontId="13" fillId="2" borderId="1" xfId="0" applyFont="1" applyFill="1" applyBorder="1" applyAlignment="1" applyProtection="1">
      <alignment wrapText="1"/>
      <protection hidden="1"/>
    </xf>
    <xf numFmtId="0" fontId="14" fillId="2" borderId="1" xfId="0" applyFont="1" applyFill="1" applyBorder="1" applyAlignment="1" applyProtection="1">
      <alignment wrapText="1"/>
      <protection hidden="1"/>
    </xf>
    <xf numFmtId="9" fontId="14" fillId="2" borderId="1" xfId="2" applyFont="1" applyFill="1" applyBorder="1" applyAlignment="1" applyProtection="1">
      <alignment wrapText="1"/>
      <protection hidden="1"/>
    </xf>
    <xf numFmtId="9" fontId="14" fillId="2" borderId="1" xfId="0" applyNumberFormat="1" applyFont="1" applyFill="1" applyBorder="1" applyAlignment="1" applyProtection="1">
      <alignment wrapText="1"/>
      <protection hidden="1"/>
    </xf>
    <xf numFmtId="0" fontId="13" fillId="0" borderId="0" xfId="0" applyFont="1" applyAlignment="1" applyProtection="1">
      <alignment wrapText="1"/>
      <protection hidden="1"/>
    </xf>
    <xf numFmtId="0" fontId="5" fillId="0" borderId="1" xfId="0" applyFont="1" applyBorder="1" applyAlignment="1" applyProtection="1">
      <alignment horizontal="center" vertical="center" wrapText="1"/>
      <protection hidden="1"/>
    </xf>
    <xf numFmtId="10" fontId="7" fillId="0" borderId="1" xfId="2"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0" fontId="7" fillId="0" borderId="1" xfId="0" applyFont="1" applyBorder="1" applyAlignment="1" applyProtection="1">
      <alignment horizontal="left" vertical="top" wrapText="1"/>
      <protection locked="0"/>
    </xf>
    <xf numFmtId="9" fontId="7" fillId="0" borderId="1" xfId="0" applyNumberFormat="1" applyFont="1" applyBorder="1" applyAlignment="1" applyProtection="1">
      <alignment horizontal="right" vertical="top" wrapText="1"/>
      <protection hidden="1"/>
    </xf>
    <xf numFmtId="9" fontId="7" fillId="0" borderId="1" xfId="2" applyFont="1" applyBorder="1" applyAlignment="1">
      <alignment horizontal="right" vertical="top" wrapText="1"/>
    </xf>
    <xf numFmtId="10" fontId="7" fillId="0" borderId="1" xfId="2" applyNumberFormat="1" applyFont="1" applyBorder="1" applyAlignment="1">
      <alignment horizontal="center" vertical="top" wrapText="1"/>
    </xf>
    <xf numFmtId="10" fontId="7" fillId="0" borderId="1" xfId="0" applyNumberFormat="1" applyFont="1" applyBorder="1" applyAlignment="1" applyProtection="1">
      <alignment horizontal="center" vertical="top" wrapText="1"/>
      <protection hidden="1"/>
    </xf>
    <xf numFmtId="0" fontId="7" fillId="0" borderId="0" xfId="0" applyFont="1" applyAlignment="1" applyProtection="1">
      <alignment horizontal="left" vertical="top" wrapText="1"/>
      <protection hidden="1"/>
    </xf>
    <xf numFmtId="0" fontId="5" fillId="0" borderId="0" xfId="0" applyFont="1" applyAlignment="1" applyProtection="1">
      <alignment horizontal="justify" vertical="top" wrapText="1"/>
      <protection hidden="1"/>
    </xf>
    <xf numFmtId="0" fontId="6" fillId="7" borderId="1" xfId="0" applyFont="1" applyFill="1" applyBorder="1" applyAlignment="1" applyProtection="1">
      <alignment horizontal="center" vertical="center" wrapText="1"/>
      <protection hidden="1"/>
    </xf>
    <xf numFmtId="9" fontId="5" fillId="0" borderId="1" xfId="2" applyNumberFormat="1" applyFont="1" applyBorder="1" applyAlignment="1">
      <alignment horizontal="center" vertical="top" wrapText="1"/>
    </xf>
    <xf numFmtId="9" fontId="5" fillId="0" borderId="1" xfId="0" applyNumberFormat="1" applyFont="1" applyBorder="1" applyAlignment="1" applyProtection="1">
      <alignment horizontal="justify" vertical="top" wrapText="1"/>
      <protection hidden="1"/>
    </xf>
    <xf numFmtId="0" fontId="7" fillId="0" borderId="1" xfId="0" applyFont="1" applyBorder="1" applyAlignment="1" applyProtection="1">
      <alignment horizontal="justify" vertical="top" wrapText="1"/>
      <protection hidden="1"/>
    </xf>
    <xf numFmtId="0" fontId="5" fillId="0" borderId="1" xfId="0" applyFont="1" applyBorder="1" applyAlignment="1">
      <alignment horizontal="justify" vertical="top" wrapText="1"/>
    </xf>
    <xf numFmtId="10" fontId="5" fillId="0" borderId="1" xfId="2" applyNumberFormat="1" applyFont="1" applyBorder="1" applyAlignment="1">
      <alignment horizontal="center" vertical="top"/>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0" fontId="5" fillId="0" borderId="6" xfId="0" applyFont="1" applyBorder="1" applyAlignment="1">
      <alignment horizontal="center" vertical="top"/>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10" fontId="6" fillId="2" borderId="1" xfId="2" applyNumberFormat="1" applyFont="1" applyFill="1" applyBorder="1" applyAlignment="1" applyProtection="1">
      <alignment horizontal="center" vertical="top" wrapText="1"/>
      <protection hidden="1"/>
    </xf>
    <xf numFmtId="9" fontId="17" fillId="2" borderId="1" xfId="0" applyNumberFormat="1" applyFont="1" applyFill="1" applyBorder="1" applyAlignment="1" applyProtection="1">
      <alignment horizontal="center" vertical="top" wrapText="1"/>
      <protection hidden="1"/>
    </xf>
    <xf numFmtId="10" fontId="17" fillId="2" borderId="1" xfId="0" applyNumberFormat="1" applyFont="1" applyFill="1" applyBorder="1" applyAlignment="1" applyProtection="1">
      <alignment horizontal="center" vertical="top" wrapText="1"/>
      <protection hidden="1"/>
    </xf>
    <xf numFmtId="10" fontId="7" fillId="2" borderId="1" xfId="0" applyNumberFormat="1" applyFont="1" applyFill="1" applyBorder="1" applyAlignment="1" applyProtection="1">
      <alignment horizontal="justify" vertical="top" wrapText="1"/>
      <protection hidden="1"/>
    </xf>
    <xf numFmtId="9" fontId="5" fillId="4" borderId="1" xfId="2" applyFont="1" applyFill="1" applyBorder="1" applyAlignment="1" applyProtection="1">
      <alignment horizontal="center" vertical="top" wrapText="1"/>
      <protection hidden="1"/>
    </xf>
    <xf numFmtId="10" fontId="6" fillId="4" borderId="1" xfId="0"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horizontal="justify" vertical="top" wrapText="1"/>
      <protection hidden="1"/>
    </xf>
    <xf numFmtId="0" fontId="5" fillId="2" borderId="1" xfId="0" applyFont="1" applyFill="1" applyBorder="1" applyAlignment="1" applyProtection="1">
      <alignment horizontal="justify" wrapText="1"/>
      <protection hidden="1"/>
    </xf>
    <xf numFmtId="0" fontId="5" fillId="2" borderId="1" xfId="0" applyFont="1" applyFill="1" applyBorder="1" applyAlignment="1" applyProtection="1">
      <alignment horizontal="left" wrapText="1"/>
      <protection hidden="1"/>
    </xf>
    <xf numFmtId="9" fontId="6" fillId="2" borderId="1" xfId="2"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6" fillId="2" borderId="1" xfId="2" applyFont="1" applyFill="1" applyBorder="1" applyAlignment="1" applyProtection="1">
      <alignment horizontal="right" wrapText="1"/>
      <protection hidden="1"/>
    </xf>
    <xf numFmtId="0" fontId="7" fillId="2" borderId="1" xfId="0" applyFont="1" applyFill="1" applyBorder="1" applyAlignment="1" applyProtection="1">
      <alignment horizontal="justify" wrapText="1"/>
      <protection hidden="1"/>
    </xf>
    <xf numFmtId="0" fontId="7" fillId="2" borderId="1" xfId="0" applyFont="1" applyFill="1" applyBorder="1" applyAlignment="1" applyProtection="1">
      <alignment horizontal="left" wrapText="1"/>
      <protection hidden="1"/>
    </xf>
    <xf numFmtId="10" fontId="17" fillId="2" borderId="1" xfId="0" applyNumberFormat="1" applyFont="1" applyFill="1" applyBorder="1" applyAlignment="1" applyProtection="1">
      <alignment wrapText="1"/>
      <protection hidden="1"/>
    </xf>
    <xf numFmtId="10" fontId="7" fillId="2" borderId="1" xfId="0" applyNumberFormat="1" applyFont="1" applyFill="1" applyBorder="1" applyAlignment="1" applyProtection="1">
      <alignment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horizontal="left" wrapText="1"/>
      <protection hidden="1"/>
    </xf>
    <xf numFmtId="10" fontId="5" fillId="4" borderId="1" xfId="2" applyNumberFormat="1" applyFont="1" applyFill="1" applyBorder="1" applyAlignment="1" applyProtection="1">
      <alignment wrapText="1"/>
      <protection hidden="1"/>
    </xf>
    <xf numFmtId="10" fontId="5" fillId="4" borderId="1" xfId="2"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wrapText="1"/>
      <protection hidden="1"/>
    </xf>
    <xf numFmtId="9" fontId="10" fillId="0" borderId="1" xfId="2" applyFont="1" applyBorder="1" applyAlignment="1" applyProtection="1">
      <alignment horizontal="justify" vertical="top" wrapText="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5" fillId="3" borderId="0" xfId="0" applyFont="1" applyFill="1" applyAlignment="1" applyProtection="1">
      <alignment horizontal="left" wrapText="1"/>
      <protection hidden="1"/>
    </xf>
    <xf numFmtId="0" fontId="5" fillId="3" borderId="0" xfId="0" applyFont="1" applyFill="1" applyAlignment="1" applyProtection="1">
      <alignment horizontal="justify" vertical="top"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left" wrapText="1"/>
      <protection hidden="1"/>
    </xf>
    <xf numFmtId="0" fontId="5" fillId="0" borderId="1" xfId="0" applyFont="1" applyBorder="1" applyAlignment="1" applyProtection="1">
      <alignment horizontal="justify"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76200</xdr:colOff>
      <xdr:row>0</xdr:row>
      <xdr:rowOff>742950</xdr:rowOff>
    </xdr:to>
    <xdr:pic>
      <xdr:nvPicPr>
        <xdr:cNvPr id="1027" name="Imagen 1">
          <a:extLst>
            <a:ext uri="{FF2B5EF4-FFF2-40B4-BE49-F238E27FC236}">
              <a16:creationId xmlns:a16="http://schemas.microsoft.com/office/drawing/2014/main" id="{1BE235EE-EB9A-43F0-B087-978471FCC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saquen.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zoomScale="85" zoomScaleNormal="85" workbookViewId="0">
      <selection activeCell="H9" sqref="H9:K9"/>
    </sheetView>
  </sheetViews>
  <sheetFormatPr baseColWidth="10" defaultColWidth="10.85546875" defaultRowHeight="15" zeroHeight="1" x14ac:dyDescent="0.25"/>
  <cols>
    <col min="1" max="1" width="7.42578125" style="1" customWidth="1"/>
    <col min="2" max="2" width="25.5703125" style="1" customWidth="1"/>
    <col min="3" max="3" width="13.85546875" style="1" customWidth="1"/>
    <col min="4" max="4" width="44.28515625" style="1" bestFit="1" customWidth="1"/>
    <col min="5" max="5" width="15.5703125" style="1" customWidth="1"/>
    <col min="6" max="6" width="18.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42578125" style="39" customWidth="1"/>
    <col min="23" max="23" width="16.5703125" style="39" customWidth="1"/>
    <col min="24" max="24" width="20.140625" style="39" customWidth="1"/>
    <col min="25" max="25" width="46" style="34" customWidth="1"/>
    <col min="26" max="26" width="25.5703125" style="52" customWidth="1"/>
    <col min="27" max="27" width="19.85546875" style="39" customWidth="1"/>
    <col min="28" max="29" width="16.5703125" style="39" customWidth="1"/>
    <col min="30" max="30" width="53.5703125" style="85" customWidth="1"/>
    <col min="31" max="31" width="24" style="85" customWidth="1"/>
    <col min="32" max="40" width="16.5703125" style="1" hidden="1" customWidth="1"/>
    <col min="41" max="41" width="23.140625" style="1" hidden="1" customWidth="1"/>
    <col min="42" max="43" width="16.5703125" style="39" customWidth="1"/>
    <col min="44" max="44" width="21.5703125" style="39" customWidth="1"/>
    <col min="45" max="45" width="52.7109375" style="34" customWidth="1"/>
    <col min="46" max="16384" width="10.85546875" style="1"/>
  </cols>
  <sheetData>
    <row r="1" spans="1:45" ht="61.5" customHeight="1" x14ac:dyDescent="0.25">
      <c r="A1" s="128" t="s">
        <v>0</v>
      </c>
      <c r="B1" s="129"/>
      <c r="C1" s="129"/>
      <c r="D1" s="129"/>
      <c r="E1" s="129"/>
      <c r="F1" s="129"/>
      <c r="G1" s="129"/>
      <c r="H1" s="129"/>
      <c r="I1" s="129"/>
      <c r="J1" s="129"/>
      <c r="K1" s="129"/>
      <c r="L1" s="130" t="s">
        <v>1</v>
      </c>
      <c r="M1" s="130"/>
      <c r="N1" s="130"/>
      <c r="O1" s="130"/>
      <c r="P1" s="130"/>
    </row>
    <row r="2" spans="1:45" s="2" customFormat="1" ht="23.45" customHeight="1" x14ac:dyDescent="0.25">
      <c r="A2" s="131" t="s">
        <v>2</v>
      </c>
      <c r="B2" s="132"/>
      <c r="C2" s="132"/>
      <c r="D2" s="132"/>
      <c r="E2" s="132"/>
      <c r="F2" s="132"/>
      <c r="G2" s="132"/>
      <c r="H2" s="132"/>
      <c r="I2" s="132"/>
      <c r="J2" s="132"/>
      <c r="K2" s="132"/>
      <c r="L2" s="132"/>
      <c r="M2" s="132"/>
      <c r="N2" s="132"/>
      <c r="O2" s="132"/>
      <c r="P2" s="132"/>
      <c r="V2" s="39"/>
      <c r="W2" s="39"/>
      <c r="X2" s="39"/>
      <c r="Y2" s="35"/>
      <c r="Z2" s="53"/>
      <c r="AA2" s="39"/>
      <c r="AB2" s="39"/>
      <c r="AC2" s="39"/>
      <c r="AD2" s="85"/>
      <c r="AE2" s="85"/>
      <c r="AP2" s="39"/>
      <c r="AQ2" s="39"/>
      <c r="AR2" s="39"/>
      <c r="AS2" s="35"/>
    </row>
    <row r="3" spans="1:45" x14ac:dyDescent="0.25"/>
    <row r="4" spans="1:45" ht="29.1" customHeight="1" x14ac:dyDescent="0.25">
      <c r="A4" s="127" t="s">
        <v>3</v>
      </c>
      <c r="B4" s="127"/>
      <c r="C4" s="130" t="s">
        <v>4</v>
      </c>
      <c r="D4" s="130"/>
      <c r="F4" s="127" t="s">
        <v>5</v>
      </c>
      <c r="G4" s="127"/>
      <c r="H4" s="127"/>
      <c r="I4" s="127"/>
      <c r="J4" s="127"/>
      <c r="K4" s="127"/>
    </row>
    <row r="5" spans="1:45" x14ac:dyDescent="0.25">
      <c r="A5" s="127"/>
      <c r="B5" s="127"/>
      <c r="C5" s="130"/>
      <c r="D5" s="130"/>
      <c r="F5" s="3" t="s">
        <v>6</v>
      </c>
      <c r="G5" s="3" t="s">
        <v>7</v>
      </c>
      <c r="H5" s="138" t="s">
        <v>8</v>
      </c>
      <c r="I5" s="138"/>
      <c r="J5" s="138"/>
      <c r="K5" s="138"/>
    </row>
    <row r="6" spans="1:45" ht="30" x14ac:dyDescent="0.25">
      <c r="A6" s="127"/>
      <c r="B6" s="127"/>
      <c r="C6" s="130"/>
      <c r="D6" s="130"/>
      <c r="F6" s="58">
        <v>1</v>
      </c>
      <c r="G6" s="60" t="s">
        <v>9</v>
      </c>
      <c r="H6" s="139" t="s">
        <v>10</v>
      </c>
      <c r="I6" s="139"/>
      <c r="J6" s="139"/>
      <c r="K6" s="139"/>
    </row>
    <row r="7" spans="1:45" ht="186.75" customHeight="1" x14ac:dyDescent="0.25">
      <c r="A7" s="127"/>
      <c r="B7" s="127"/>
      <c r="C7" s="130"/>
      <c r="D7" s="130"/>
      <c r="F7" s="58">
        <v>2</v>
      </c>
      <c r="G7" s="58" t="s">
        <v>11</v>
      </c>
      <c r="H7" s="140" t="s">
        <v>12</v>
      </c>
      <c r="I7" s="140"/>
      <c r="J7" s="140"/>
      <c r="K7" s="140"/>
    </row>
    <row r="8" spans="1:45" ht="70.5" customHeight="1" x14ac:dyDescent="0.25">
      <c r="A8" s="127"/>
      <c r="B8" s="127"/>
      <c r="C8" s="130"/>
      <c r="D8" s="130"/>
      <c r="F8" s="62">
        <v>3</v>
      </c>
      <c r="G8" s="62" t="s">
        <v>259</v>
      </c>
      <c r="H8" s="133" t="s">
        <v>264</v>
      </c>
      <c r="I8" s="133"/>
      <c r="J8" s="133"/>
      <c r="K8" s="133"/>
    </row>
    <row r="9" spans="1:45" s="122" customFormat="1" ht="70.5" customHeight="1" x14ac:dyDescent="0.25">
      <c r="A9" s="120"/>
      <c r="B9" s="120"/>
      <c r="C9" s="121"/>
      <c r="D9" s="121"/>
      <c r="F9" s="73">
        <v>4</v>
      </c>
      <c r="G9" s="73" t="s">
        <v>269</v>
      </c>
      <c r="H9" s="133" t="s">
        <v>270</v>
      </c>
      <c r="I9" s="133"/>
      <c r="J9" s="133"/>
      <c r="K9" s="133"/>
      <c r="V9" s="123"/>
      <c r="W9" s="123"/>
      <c r="X9" s="123"/>
      <c r="Y9" s="124"/>
      <c r="Z9" s="125"/>
      <c r="AA9" s="123"/>
      <c r="AB9" s="123"/>
      <c r="AC9" s="123"/>
      <c r="AD9" s="126"/>
      <c r="AE9" s="126"/>
      <c r="AP9" s="123"/>
      <c r="AQ9" s="123"/>
      <c r="AR9" s="123"/>
      <c r="AS9" s="124"/>
    </row>
    <row r="10" spans="1:45" x14ac:dyDescent="0.25"/>
    <row r="11" spans="1:45" ht="14.45" customHeight="1" x14ac:dyDescent="0.25">
      <c r="A11" s="127" t="s">
        <v>13</v>
      </c>
      <c r="B11" s="127"/>
      <c r="C11" s="127" t="s">
        <v>14</v>
      </c>
      <c r="D11" s="127" t="s">
        <v>15</v>
      </c>
      <c r="E11" s="127"/>
      <c r="F11" s="127"/>
      <c r="G11" s="127"/>
      <c r="H11" s="127"/>
      <c r="I11" s="127"/>
      <c r="J11" s="127"/>
      <c r="K11" s="127"/>
      <c r="L11" s="127"/>
      <c r="M11" s="127"/>
      <c r="N11" s="127"/>
      <c r="O11" s="127"/>
      <c r="P11" s="127"/>
      <c r="Q11" s="141" t="s">
        <v>16</v>
      </c>
      <c r="R11" s="141"/>
      <c r="S11" s="141"/>
      <c r="T11" s="141"/>
      <c r="U11" s="141"/>
      <c r="V11" s="137" t="s">
        <v>17</v>
      </c>
      <c r="W11" s="137"/>
      <c r="X11" s="137"/>
      <c r="Y11" s="137"/>
      <c r="Z11" s="137"/>
      <c r="AA11" s="142" t="s">
        <v>17</v>
      </c>
      <c r="AB11" s="142"/>
      <c r="AC11" s="142"/>
      <c r="AD11" s="142"/>
      <c r="AE11" s="142"/>
      <c r="AF11" s="143" t="s">
        <v>17</v>
      </c>
      <c r="AG11" s="143"/>
      <c r="AH11" s="143"/>
      <c r="AI11" s="143"/>
      <c r="AJ11" s="143"/>
      <c r="AK11" s="144" t="s">
        <v>17</v>
      </c>
      <c r="AL11" s="144"/>
      <c r="AM11" s="144"/>
      <c r="AN11" s="144"/>
      <c r="AO11" s="144"/>
      <c r="AP11" s="134" t="s">
        <v>18</v>
      </c>
      <c r="AQ11" s="135"/>
      <c r="AR11" s="135"/>
      <c r="AS11" s="136"/>
    </row>
    <row r="12" spans="1:45" ht="14.45" customHeight="1" x14ac:dyDescent="0.25">
      <c r="A12" s="127"/>
      <c r="B12" s="127"/>
      <c r="C12" s="127"/>
      <c r="D12" s="127"/>
      <c r="E12" s="127"/>
      <c r="F12" s="127"/>
      <c r="G12" s="127"/>
      <c r="H12" s="127"/>
      <c r="I12" s="127"/>
      <c r="J12" s="127"/>
      <c r="K12" s="127"/>
      <c r="L12" s="127"/>
      <c r="M12" s="127"/>
      <c r="N12" s="127"/>
      <c r="O12" s="127"/>
      <c r="P12" s="127"/>
      <c r="Q12" s="141"/>
      <c r="R12" s="141"/>
      <c r="S12" s="141"/>
      <c r="T12" s="141"/>
      <c r="U12" s="141"/>
      <c r="V12" s="137" t="s">
        <v>19</v>
      </c>
      <c r="W12" s="137"/>
      <c r="X12" s="137"/>
      <c r="Y12" s="137"/>
      <c r="Z12" s="137"/>
      <c r="AA12" s="142" t="s">
        <v>20</v>
      </c>
      <c r="AB12" s="142"/>
      <c r="AC12" s="142"/>
      <c r="AD12" s="142"/>
      <c r="AE12" s="142"/>
      <c r="AF12" s="143" t="s">
        <v>21</v>
      </c>
      <c r="AG12" s="143"/>
      <c r="AH12" s="143"/>
      <c r="AI12" s="143"/>
      <c r="AJ12" s="143"/>
      <c r="AK12" s="144" t="s">
        <v>22</v>
      </c>
      <c r="AL12" s="144"/>
      <c r="AM12" s="144"/>
      <c r="AN12" s="144"/>
      <c r="AO12" s="144"/>
      <c r="AP12" s="134" t="s">
        <v>23</v>
      </c>
      <c r="AQ12" s="135"/>
      <c r="AR12" s="135"/>
      <c r="AS12" s="136"/>
    </row>
    <row r="13" spans="1:45" ht="60" x14ac:dyDescent="0.25">
      <c r="A13" s="57" t="s">
        <v>24</v>
      </c>
      <c r="B13" s="57" t="s">
        <v>25</v>
      </c>
      <c r="C13" s="127"/>
      <c r="D13" s="57" t="s">
        <v>26</v>
      </c>
      <c r="E13" s="57" t="s">
        <v>27</v>
      </c>
      <c r="F13" s="57" t="s">
        <v>28</v>
      </c>
      <c r="G13" s="57" t="s">
        <v>29</v>
      </c>
      <c r="H13" s="57" t="s">
        <v>30</v>
      </c>
      <c r="I13" s="57" t="s">
        <v>31</v>
      </c>
      <c r="J13" s="57" t="s">
        <v>32</v>
      </c>
      <c r="K13" s="57" t="s">
        <v>33</v>
      </c>
      <c r="L13" s="57" t="s">
        <v>34</v>
      </c>
      <c r="M13" s="57" t="s">
        <v>35</v>
      </c>
      <c r="N13" s="57" t="s">
        <v>36</v>
      </c>
      <c r="O13" s="57" t="s">
        <v>37</v>
      </c>
      <c r="P13" s="57" t="s">
        <v>38</v>
      </c>
      <c r="Q13" s="61" t="s">
        <v>39</v>
      </c>
      <c r="R13" s="61" t="s">
        <v>40</v>
      </c>
      <c r="S13" s="61" t="s">
        <v>41</v>
      </c>
      <c r="T13" s="61" t="s">
        <v>42</v>
      </c>
      <c r="U13" s="61" t="s">
        <v>43</v>
      </c>
      <c r="V13" s="64" t="s">
        <v>44</v>
      </c>
      <c r="W13" s="64" t="s">
        <v>45</v>
      </c>
      <c r="X13" s="64" t="s">
        <v>46</v>
      </c>
      <c r="Y13" s="64" t="s">
        <v>47</v>
      </c>
      <c r="Z13" s="64" t="s">
        <v>48</v>
      </c>
      <c r="AA13" s="86" t="s">
        <v>44</v>
      </c>
      <c r="AB13" s="86" t="s">
        <v>45</v>
      </c>
      <c r="AC13" s="86" t="s">
        <v>46</v>
      </c>
      <c r="AD13" s="86" t="s">
        <v>47</v>
      </c>
      <c r="AE13" s="86" t="s">
        <v>48</v>
      </c>
      <c r="AF13" s="65" t="s">
        <v>44</v>
      </c>
      <c r="AG13" s="65" t="s">
        <v>45</v>
      </c>
      <c r="AH13" s="65" t="s">
        <v>46</v>
      </c>
      <c r="AI13" s="65" t="s">
        <v>47</v>
      </c>
      <c r="AJ13" s="65" t="s">
        <v>48</v>
      </c>
      <c r="AK13" s="66" t="s">
        <v>44</v>
      </c>
      <c r="AL13" s="66" t="s">
        <v>45</v>
      </c>
      <c r="AM13" s="66" t="s">
        <v>46</v>
      </c>
      <c r="AN13" s="66" t="s">
        <v>47</v>
      </c>
      <c r="AO13" s="66" t="s">
        <v>48</v>
      </c>
      <c r="AP13" s="27" t="s">
        <v>44</v>
      </c>
      <c r="AQ13" s="27" t="s">
        <v>45</v>
      </c>
      <c r="AR13" s="27" t="s">
        <v>46</v>
      </c>
      <c r="AS13" s="27" t="s">
        <v>49</v>
      </c>
    </row>
    <row r="14" spans="1:45" s="28" customFormat="1" ht="204" customHeight="1" x14ac:dyDescent="0.25">
      <c r="A14" s="59">
        <v>4</v>
      </c>
      <c r="B14" s="59" t="s">
        <v>50</v>
      </c>
      <c r="C14" s="59" t="s">
        <v>51</v>
      </c>
      <c r="D14" s="59" t="s">
        <v>52</v>
      </c>
      <c r="E14" s="4">
        <f t="shared" ref="E14:E30" si="0">+(5.55555555555556%*80%)/100%</f>
        <v>4.4444444444444481E-2</v>
      </c>
      <c r="F14" s="59" t="s">
        <v>53</v>
      </c>
      <c r="G14" s="59" t="s">
        <v>54</v>
      </c>
      <c r="H14" s="59" t="s">
        <v>55</v>
      </c>
      <c r="I14" s="5">
        <v>6.6000000000000003E-2</v>
      </c>
      <c r="J14" s="59" t="s">
        <v>56</v>
      </c>
      <c r="K14" s="59" t="s">
        <v>57</v>
      </c>
      <c r="L14" s="6">
        <v>0</v>
      </c>
      <c r="M14" s="6">
        <v>0.02</v>
      </c>
      <c r="N14" s="6">
        <v>0.06</v>
      </c>
      <c r="O14" s="6">
        <v>0.1</v>
      </c>
      <c r="P14" s="6">
        <v>0.1</v>
      </c>
      <c r="Q14" s="59" t="s">
        <v>58</v>
      </c>
      <c r="R14" s="59" t="s">
        <v>59</v>
      </c>
      <c r="S14" s="59" t="s">
        <v>60</v>
      </c>
      <c r="T14" s="59" t="s">
        <v>61</v>
      </c>
      <c r="U14" s="59" t="s">
        <v>62</v>
      </c>
      <c r="V14" s="40" t="s">
        <v>63</v>
      </c>
      <c r="W14" s="40" t="s">
        <v>63</v>
      </c>
      <c r="X14" s="40" t="s">
        <v>63</v>
      </c>
      <c r="Y14" s="36" t="s">
        <v>64</v>
      </c>
      <c r="Z14" s="6" t="s">
        <v>63</v>
      </c>
      <c r="AA14" s="40">
        <f>M14</f>
        <v>0.02</v>
      </c>
      <c r="AB14" s="87">
        <v>0.02</v>
      </c>
      <c r="AC14" s="55">
        <f>IF(AB14/AA14&gt;100%,100%,AB14/AA14)</f>
        <v>1</v>
      </c>
      <c r="AD14" s="38" t="s">
        <v>220</v>
      </c>
      <c r="AE14" s="38" t="s">
        <v>221</v>
      </c>
      <c r="AF14" s="26">
        <f>N14</f>
        <v>0.06</v>
      </c>
      <c r="AG14" s="54"/>
      <c r="AH14" s="55">
        <f>IF(AG14/AF14&gt;100%,100%,AG14/AF14)</f>
        <v>0</v>
      </c>
      <c r="AI14" s="63"/>
      <c r="AJ14" s="63"/>
      <c r="AK14" s="26">
        <f>O14</f>
        <v>0.1</v>
      </c>
      <c r="AL14" s="54"/>
      <c r="AM14" s="55">
        <f>IF(AL14/AK14&gt;100%,100%,AL14/AK14)</f>
        <v>0</v>
      </c>
      <c r="AN14" s="63"/>
      <c r="AO14" s="63"/>
      <c r="AP14" s="40">
        <f>P14</f>
        <v>0.1</v>
      </c>
      <c r="AQ14" s="40">
        <v>0.02</v>
      </c>
      <c r="AR14" s="49">
        <f>IF(AQ14/AP14&gt;100%,100%,AQ14/AP14)</f>
        <v>0.19999999999999998</v>
      </c>
      <c r="AS14" s="38" t="s">
        <v>220</v>
      </c>
    </row>
    <row r="15" spans="1:45" s="28" customFormat="1" ht="120" x14ac:dyDescent="0.25">
      <c r="A15" s="59">
        <v>4</v>
      </c>
      <c r="B15" s="59" t="s">
        <v>50</v>
      </c>
      <c r="C15" s="59" t="s">
        <v>51</v>
      </c>
      <c r="D15" s="59" t="s">
        <v>65</v>
      </c>
      <c r="E15" s="4">
        <f t="shared" si="0"/>
        <v>4.4444444444444481E-2</v>
      </c>
      <c r="F15" s="59" t="s">
        <v>53</v>
      </c>
      <c r="G15" s="59" t="s">
        <v>66</v>
      </c>
      <c r="H15" s="59" t="s">
        <v>67</v>
      </c>
      <c r="I15" s="59" t="s">
        <v>68</v>
      </c>
      <c r="J15" s="59" t="s">
        <v>69</v>
      </c>
      <c r="K15" s="59" t="s">
        <v>57</v>
      </c>
      <c r="L15" s="6">
        <v>0</v>
      </c>
      <c r="M15" s="6">
        <v>0</v>
      </c>
      <c r="N15" s="6">
        <v>0</v>
      </c>
      <c r="O15" s="6">
        <v>0.15</v>
      </c>
      <c r="P15" s="6">
        <v>0.15</v>
      </c>
      <c r="Q15" s="59" t="s">
        <v>58</v>
      </c>
      <c r="R15" s="59" t="s">
        <v>70</v>
      </c>
      <c r="S15" s="59" t="s">
        <v>71</v>
      </c>
      <c r="T15" s="59" t="s">
        <v>61</v>
      </c>
      <c r="U15" s="59" t="s">
        <v>72</v>
      </c>
      <c r="V15" s="40" t="s">
        <v>63</v>
      </c>
      <c r="W15" s="40" t="s">
        <v>63</v>
      </c>
      <c r="X15" s="40" t="s">
        <v>63</v>
      </c>
      <c r="Y15" s="36" t="s">
        <v>64</v>
      </c>
      <c r="Z15" s="6" t="s">
        <v>63</v>
      </c>
      <c r="AA15" s="40" t="s">
        <v>63</v>
      </c>
      <c r="AB15" s="40" t="s">
        <v>63</v>
      </c>
      <c r="AC15" s="40" t="s">
        <v>63</v>
      </c>
      <c r="AD15" s="88" t="s">
        <v>222</v>
      </c>
      <c r="AE15" s="88" t="s">
        <v>63</v>
      </c>
      <c r="AF15" s="26">
        <f t="shared" ref="AF15:AF37" si="1">N15</f>
        <v>0</v>
      </c>
      <c r="AG15" s="54">
        <v>0</v>
      </c>
      <c r="AH15" s="55" t="e">
        <f>IF(AG15/AF15&gt;100%,100%,AG15/AF15)</f>
        <v>#DIV/0!</v>
      </c>
      <c r="AI15" s="63"/>
      <c r="AJ15" s="63"/>
      <c r="AK15" s="26">
        <f t="shared" ref="AK15:AK37" si="2">O15</f>
        <v>0.15</v>
      </c>
      <c r="AL15" s="54">
        <v>0</v>
      </c>
      <c r="AM15" s="55">
        <f>IF(AL15/AK15&gt;100%,100%,AL15/AK15)</f>
        <v>0</v>
      </c>
      <c r="AN15" s="63"/>
      <c r="AO15" s="63"/>
      <c r="AP15" s="40">
        <f>P15</f>
        <v>0.15</v>
      </c>
      <c r="AQ15" s="40">
        <v>0</v>
      </c>
      <c r="AR15" s="49">
        <f t="shared" ref="AR15:AR31" si="3">IF(AQ15/AP15&gt;100%,100%,AQ15/AP15)</f>
        <v>0</v>
      </c>
      <c r="AS15" s="36" t="s">
        <v>64</v>
      </c>
    </row>
    <row r="16" spans="1:45" s="84" customFormat="1" ht="165" x14ac:dyDescent="0.25">
      <c r="A16" s="8">
        <v>4</v>
      </c>
      <c r="B16" s="8" t="s">
        <v>50</v>
      </c>
      <c r="C16" s="8" t="s">
        <v>51</v>
      </c>
      <c r="D16" s="8" t="s">
        <v>263</v>
      </c>
      <c r="E16" s="74">
        <f t="shared" si="0"/>
        <v>4.4444444444444481E-2</v>
      </c>
      <c r="F16" s="8" t="s">
        <v>73</v>
      </c>
      <c r="G16" s="8" t="s">
        <v>74</v>
      </c>
      <c r="H16" s="8" t="s">
        <v>75</v>
      </c>
      <c r="I16" s="8" t="s">
        <v>68</v>
      </c>
      <c r="J16" s="8" t="s">
        <v>56</v>
      </c>
      <c r="K16" s="8" t="s">
        <v>57</v>
      </c>
      <c r="L16" s="75">
        <v>0.05</v>
      </c>
      <c r="M16" s="75">
        <v>0.4</v>
      </c>
      <c r="N16" s="75">
        <v>0.8</v>
      </c>
      <c r="O16" s="75">
        <v>1</v>
      </c>
      <c r="P16" s="75">
        <v>1</v>
      </c>
      <c r="Q16" s="8" t="s">
        <v>58</v>
      </c>
      <c r="R16" s="8" t="s">
        <v>76</v>
      </c>
      <c r="S16" s="8" t="s">
        <v>77</v>
      </c>
      <c r="T16" s="8" t="s">
        <v>61</v>
      </c>
      <c r="U16" s="8" t="s">
        <v>78</v>
      </c>
      <c r="V16" s="76">
        <f t="shared" ref="V16:V31" si="4">L16</f>
        <v>0.05</v>
      </c>
      <c r="W16" s="77">
        <v>0</v>
      </c>
      <c r="X16" s="77">
        <v>0</v>
      </c>
      <c r="Y16" s="78" t="s">
        <v>79</v>
      </c>
      <c r="Z16" s="79" t="s">
        <v>80</v>
      </c>
      <c r="AA16" s="76">
        <f t="shared" ref="AA16:AA37" si="5">M16</f>
        <v>0.4</v>
      </c>
      <c r="AB16" s="82">
        <v>0.1053</v>
      </c>
      <c r="AC16" s="82">
        <f>IF(AB16/AA16&gt;100%,100%,AB16/AA16)</f>
        <v>0.26324999999999998</v>
      </c>
      <c r="AD16" s="89" t="s">
        <v>261</v>
      </c>
      <c r="AE16" s="89" t="s">
        <v>262</v>
      </c>
      <c r="AF16" s="80">
        <f t="shared" si="1"/>
        <v>0.8</v>
      </c>
      <c r="AG16" s="81"/>
      <c r="AH16" s="82">
        <f t="shared" ref="AH16:AH30" si="6">IF(AG16/AF16&gt;100%,100%,AG16/AF16)</f>
        <v>0</v>
      </c>
      <c r="AI16" s="8"/>
      <c r="AJ16" s="8"/>
      <c r="AK16" s="80">
        <f t="shared" si="2"/>
        <v>1</v>
      </c>
      <c r="AL16" s="81"/>
      <c r="AM16" s="82">
        <f t="shared" ref="AM16:AM30" si="7">IF(AL16/AK16&gt;100%,100%,AL16/AK16)</f>
        <v>0</v>
      </c>
      <c r="AN16" s="8"/>
      <c r="AO16" s="8"/>
      <c r="AP16" s="76">
        <f t="shared" ref="AP16:AP37" si="8">P16</f>
        <v>1</v>
      </c>
      <c r="AQ16" s="83">
        <v>0.1053</v>
      </c>
      <c r="AR16" s="83">
        <f t="shared" si="3"/>
        <v>0.1053</v>
      </c>
      <c r="AS16" s="89" t="s">
        <v>261</v>
      </c>
    </row>
    <row r="17" spans="1:45" s="28" customFormat="1" ht="90" x14ac:dyDescent="0.25">
      <c r="A17" s="59">
        <v>4</v>
      </c>
      <c r="B17" s="59" t="s">
        <v>50</v>
      </c>
      <c r="C17" s="59" t="s">
        <v>81</v>
      </c>
      <c r="D17" s="59" t="s">
        <v>82</v>
      </c>
      <c r="E17" s="4">
        <f t="shared" si="0"/>
        <v>4.4444444444444481E-2</v>
      </c>
      <c r="F17" s="59" t="s">
        <v>53</v>
      </c>
      <c r="G17" s="59" t="s">
        <v>83</v>
      </c>
      <c r="H17" s="59" t="s">
        <v>84</v>
      </c>
      <c r="I17" s="6">
        <v>0.5</v>
      </c>
      <c r="J17" s="59" t="s">
        <v>56</v>
      </c>
      <c r="K17" s="59" t="s">
        <v>57</v>
      </c>
      <c r="L17" s="6">
        <v>0.15</v>
      </c>
      <c r="M17" s="6">
        <v>0.3</v>
      </c>
      <c r="N17" s="7">
        <v>0.45</v>
      </c>
      <c r="O17" s="7">
        <v>0.6</v>
      </c>
      <c r="P17" s="6">
        <v>0.6</v>
      </c>
      <c r="Q17" s="59" t="s">
        <v>85</v>
      </c>
      <c r="R17" s="59" t="s">
        <v>86</v>
      </c>
      <c r="S17" s="59" t="s">
        <v>87</v>
      </c>
      <c r="T17" s="59" t="s">
        <v>61</v>
      </c>
      <c r="U17" s="59" t="s">
        <v>88</v>
      </c>
      <c r="V17" s="40">
        <f t="shared" si="4"/>
        <v>0.15</v>
      </c>
      <c r="W17" s="42">
        <v>0.33939999999999998</v>
      </c>
      <c r="X17" s="41">
        <v>1</v>
      </c>
      <c r="Y17" s="36" t="s">
        <v>89</v>
      </c>
      <c r="Z17" s="33" t="s">
        <v>89</v>
      </c>
      <c r="AA17" s="40">
        <f t="shared" si="5"/>
        <v>0.3</v>
      </c>
      <c r="AB17" s="55">
        <v>0.53939999999999999</v>
      </c>
      <c r="AC17" s="55">
        <f t="shared" ref="AC17:AC27" si="9">IF(AB17/AA17&gt;100%,100%,AB17/AA17)</f>
        <v>1</v>
      </c>
      <c r="AD17" s="36" t="s">
        <v>224</v>
      </c>
      <c r="AE17" s="36" t="s">
        <v>223</v>
      </c>
      <c r="AF17" s="26">
        <f t="shared" si="1"/>
        <v>0.45</v>
      </c>
      <c r="AG17" s="54"/>
      <c r="AH17" s="55">
        <f t="shared" si="6"/>
        <v>0</v>
      </c>
      <c r="AI17" s="63"/>
      <c r="AJ17" s="63"/>
      <c r="AK17" s="26">
        <f t="shared" si="2"/>
        <v>0.6</v>
      </c>
      <c r="AL17" s="54"/>
      <c r="AM17" s="55">
        <f t="shared" si="7"/>
        <v>0</v>
      </c>
      <c r="AN17" s="63"/>
      <c r="AO17" s="63"/>
      <c r="AP17" s="40">
        <f t="shared" si="8"/>
        <v>0.6</v>
      </c>
      <c r="AQ17" s="49">
        <v>0.53939999999999999</v>
      </c>
      <c r="AR17" s="49">
        <f t="shared" si="3"/>
        <v>0.89900000000000002</v>
      </c>
      <c r="AS17" s="36" t="s">
        <v>225</v>
      </c>
    </row>
    <row r="18" spans="1:45" s="28" customFormat="1" ht="105" x14ac:dyDescent="0.25">
      <c r="A18" s="59">
        <v>4</v>
      </c>
      <c r="B18" s="59" t="s">
        <v>50</v>
      </c>
      <c r="C18" s="59" t="s">
        <v>81</v>
      </c>
      <c r="D18" s="59" t="s">
        <v>90</v>
      </c>
      <c r="E18" s="4">
        <f t="shared" si="0"/>
        <v>4.4444444444444481E-2</v>
      </c>
      <c r="F18" s="59" t="s">
        <v>53</v>
      </c>
      <c r="G18" s="59" t="s">
        <v>91</v>
      </c>
      <c r="H18" s="59" t="s">
        <v>92</v>
      </c>
      <c r="I18" s="6">
        <v>0.6</v>
      </c>
      <c r="J18" s="59" t="s">
        <v>56</v>
      </c>
      <c r="K18" s="59" t="s">
        <v>57</v>
      </c>
      <c r="L18" s="6">
        <v>0.15</v>
      </c>
      <c r="M18" s="6">
        <v>0.3</v>
      </c>
      <c r="N18" s="7">
        <v>0.45</v>
      </c>
      <c r="O18" s="7">
        <v>0.6</v>
      </c>
      <c r="P18" s="6">
        <v>0.6</v>
      </c>
      <c r="Q18" s="59" t="s">
        <v>85</v>
      </c>
      <c r="R18" s="59" t="s">
        <v>86</v>
      </c>
      <c r="S18" s="59" t="s">
        <v>87</v>
      </c>
      <c r="T18" s="59" t="s">
        <v>61</v>
      </c>
      <c r="U18" s="59" t="s">
        <v>88</v>
      </c>
      <c r="V18" s="40">
        <f t="shared" si="4"/>
        <v>0.15</v>
      </c>
      <c r="W18" s="42">
        <v>0.58989999999999998</v>
      </c>
      <c r="X18" s="41">
        <v>1</v>
      </c>
      <c r="Y18" s="36" t="s">
        <v>89</v>
      </c>
      <c r="Z18" s="33" t="s">
        <v>89</v>
      </c>
      <c r="AA18" s="40">
        <f t="shared" si="5"/>
        <v>0.3</v>
      </c>
      <c r="AB18" s="55">
        <v>0.61419999999999997</v>
      </c>
      <c r="AC18" s="55">
        <f t="shared" si="9"/>
        <v>1</v>
      </c>
      <c r="AD18" s="36" t="s">
        <v>226</v>
      </c>
      <c r="AE18" s="36" t="s">
        <v>223</v>
      </c>
      <c r="AF18" s="26">
        <f t="shared" si="1"/>
        <v>0.45</v>
      </c>
      <c r="AG18" s="54"/>
      <c r="AH18" s="55">
        <f t="shared" si="6"/>
        <v>0</v>
      </c>
      <c r="AI18" s="63"/>
      <c r="AJ18" s="63"/>
      <c r="AK18" s="26">
        <f t="shared" si="2"/>
        <v>0.6</v>
      </c>
      <c r="AL18" s="54"/>
      <c r="AM18" s="55">
        <f t="shared" si="7"/>
        <v>0</v>
      </c>
      <c r="AN18" s="63"/>
      <c r="AO18" s="63"/>
      <c r="AP18" s="40">
        <f t="shared" si="8"/>
        <v>0.6</v>
      </c>
      <c r="AQ18" s="49">
        <v>0.61419999999999997</v>
      </c>
      <c r="AR18" s="49">
        <f t="shared" si="3"/>
        <v>1</v>
      </c>
      <c r="AS18" s="36" t="s">
        <v>227</v>
      </c>
    </row>
    <row r="19" spans="1:45" s="28" customFormat="1" ht="90" x14ac:dyDescent="0.25">
      <c r="A19" s="59">
        <v>4</v>
      </c>
      <c r="B19" s="59" t="s">
        <v>50</v>
      </c>
      <c r="C19" s="59" t="s">
        <v>81</v>
      </c>
      <c r="D19" s="59" t="s">
        <v>93</v>
      </c>
      <c r="E19" s="4">
        <f t="shared" si="0"/>
        <v>4.4444444444444481E-2</v>
      </c>
      <c r="F19" s="59" t="s">
        <v>73</v>
      </c>
      <c r="G19" s="59" t="s">
        <v>94</v>
      </c>
      <c r="H19" s="59" t="s">
        <v>95</v>
      </c>
      <c r="I19" s="59"/>
      <c r="J19" s="59" t="s">
        <v>56</v>
      </c>
      <c r="K19" s="59" t="s">
        <v>57</v>
      </c>
      <c r="L19" s="6">
        <v>0.1</v>
      </c>
      <c r="M19" s="6">
        <v>0.25</v>
      </c>
      <c r="N19" s="6">
        <v>0.6</v>
      </c>
      <c r="O19" s="6">
        <v>0.95</v>
      </c>
      <c r="P19" s="6">
        <v>0.95</v>
      </c>
      <c r="Q19" s="59" t="s">
        <v>85</v>
      </c>
      <c r="R19" s="59" t="s">
        <v>86</v>
      </c>
      <c r="S19" s="59" t="s">
        <v>87</v>
      </c>
      <c r="T19" s="59" t="s">
        <v>61</v>
      </c>
      <c r="U19" s="59" t="s">
        <v>96</v>
      </c>
      <c r="V19" s="40">
        <f t="shared" si="4"/>
        <v>0.1</v>
      </c>
      <c r="W19" s="41">
        <v>0.33</v>
      </c>
      <c r="X19" s="41">
        <v>1</v>
      </c>
      <c r="Y19" s="36" t="s">
        <v>89</v>
      </c>
      <c r="Z19" s="33" t="s">
        <v>89</v>
      </c>
      <c r="AA19" s="40">
        <f t="shared" si="5"/>
        <v>0.25</v>
      </c>
      <c r="AB19" s="55">
        <v>0.54120000000000001</v>
      </c>
      <c r="AC19" s="55">
        <f t="shared" si="9"/>
        <v>1</v>
      </c>
      <c r="AD19" s="36" t="s">
        <v>228</v>
      </c>
      <c r="AE19" s="36" t="s">
        <v>223</v>
      </c>
      <c r="AF19" s="26">
        <f t="shared" si="1"/>
        <v>0.6</v>
      </c>
      <c r="AG19" s="54"/>
      <c r="AH19" s="55">
        <f t="shared" si="6"/>
        <v>0</v>
      </c>
      <c r="AI19" s="63"/>
      <c r="AJ19" s="63"/>
      <c r="AK19" s="26">
        <f t="shared" si="2"/>
        <v>0.95</v>
      </c>
      <c r="AL19" s="54"/>
      <c r="AM19" s="55">
        <f t="shared" si="7"/>
        <v>0</v>
      </c>
      <c r="AN19" s="63"/>
      <c r="AO19" s="63"/>
      <c r="AP19" s="40">
        <f t="shared" si="8"/>
        <v>0.95</v>
      </c>
      <c r="AQ19" s="49">
        <v>0.54120000000000001</v>
      </c>
      <c r="AR19" s="49">
        <f t="shared" si="3"/>
        <v>0.56968421052631579</v>
      </c>
      <c r="AS19" s="36" t="s">
        <v>229</v>
      </c>
    </row>
    <row r="20" spans="1:45" s="28" customFormat="1" ht="90" x14ac:dyDescent="0.25">
      <c r="A20" s="59">
        <v>4</v>
      </c>
      <c r="B20" s="59" t="s">
        <v>50</v>
      </c>
      <c r="C20" s="59" t="s">
        <v>81</v>
      </c>
      <c r="D20" s="59" t="s">
        <v>97</v>
      </c>
      <c r="E20" s="4">
        <f t="shared" si="0"/>
        <v>4.4444444444444481E-2</v>
      </c>
      <c r="F20" s="59" t="s">
        <v>53</v>
      </c>
      <c r="G20" s="59" t="s">
        <v>98</v>
      </c>
      <c r="H20" s="59" t="s">
        <v>99</v>
      </c>
      <c r="I20" s="59"/>
      <c r="J20" s="59" t="s">
        <v>56</v>
      </c>
      <c r="K20" s="59" t="s">
        <v>57</v>
      </c>
      <c r="L20" s="6">
        <v>0.02</v>
      </c>
      <c r="M20" s="6">
        <v>0.1</v>
      </c>
      <c r="N20" s="6">
        <v>0.2</v>
      </c>
      <c r="O20" s="6">
        <v>0.4</v>
      </c>
      <c r="P20" s="6">
        <v>0.4</v>
      </c>
      <c r="Q20" s="59" t="s">
        <v>85</v>
      </c>
      <c r="R20" s="59" t="s">
        <v>86</v>
      </c>
      <c r="S20" s="59" t="s">
        <v>87</v>
      </c>
      <c r="T20" s="59" t="s">
        <v>61</v>
      </c>
      <c r="U20" s="59" t="s">
        <v>96</v>
      </c>
      <c r="V20" s="40">
        <f t="shared" si="4"/>
        <v>0.02</v>
      </c>
      <c r="W20" s="41">
        <v>0.12</v>
      </c>
      <c r="X20" s="41">
        <v>1</v>
      </c>
      <c r="Y20" s="36" t="s">
        <v>89</v>
      </c>
      <c r="Z20" s="33" t="s">
        <v>89</v>
      </c>
      <c r="AA20" s="40">
        <f t="shared" si="5"/>
        <v>0.1</v>
      </c>
      <c r="AB20" s="55">
        <v>0.2387</v>
      </c>
      <c r="AC20" s="55">
        <f t="shared" si="9"/>
        <v>1</v>
      </c>
      <c r="AD20" s="36" t="s">
        <v>230</v>
      </c>
      <c r="AE20" s="36" t="s">
        <v>223</v>
      </c>
      <c r="AF20" s="26">
        <f t="shared" si="1"/>
        <v>0.2</v>
      </c>
      <c r="AG20" s="54"/>
      <c r="AH20" s="55">
        <f t="shared" si="6"/>
        <v>0</v>
      </c>
      <c r="AI20" s="63"/>
      <c r="AJ20" s="63"/>
      <c r="AK20" s="26">
        <f t="shared" si="2"/>
        <v>0.4</v>
      </c>
      <c r="AL20" s="54"/>
      <c r="AM20" s="55">
        <f t="shared" si="7"/>
        <v>0</v>
      </c>
      <c r="AN20" s="63"/>
      <c r="AO20" s="63"/>
      <c r="AP20" s="40">
        <f t="shared" si="8"/>
        <v>0.4</v>
      </c>
      <c r="AQ20" s="49">
        <v>0.2387</v>
      </c>
      <c r="AR20" s="49">
        <f t="shared" si="3"/>
        <v>0.59675</v>
      </c>
      <c r="AS20" s="36" t="s">
        <v>230</v>
      </c>
    </row>
    <row r="21" spans="1:45" s="28" customFormat="1" ht="90" x14ac:dyDescent="0.25">
      <c r="A21" s="59">
        <v>4</v>
      </c>
      <c r="B21" s="59" t="s">
        <v>50</v>
      </c>
      <c r="C21" s="59" t="s">
        <v>81</v>
      </c>
      <c r="D21" s="59" t="s">
        <v>100</v>
      </c>
      <c r="E21" s="4">
        <f t="shared" si="0"/>
        <v>4.4444444444444481E-2</v>
      </c>
      <c r="F21" s="59" t="s">
        <v>73</v>
      </c>
      <c r="G21" s="59" t="s">
        <v>101</v>
      </c>
      <c r="H21" s="59" t="s">
        <v>102</v>
      </c>
      <c r="I21" s="59"/>
      <c r="J21" s="59" t="s">
        <v>69</v>
      </c>
      <c r="K21" s="59" t="s">
        <v>57</v>
      </c>
      <c r="L21" s="6">
        <v>0.95</v>
      </c>
      <c r="M21" s="6">
        <v>0.95</v>
      </c>
      <c r="N21" s="6">
        <v>0.95</v>
      </c>
      <c r="O21" s="6">
        <v>0.95</v>
      </c>
      <c r="P21" s="6">
        <v>0.95</v>
      </c>
      <c r="Q21" s="59" t="s">
        <v>85</v>
      </c>
      <c r="R21" s="59" t="s">
        <v>86</v>
      </c>
      <c r="S21" s="59" t="s">
        <v>103</v>
      </c>
      <c r="T21" s="59" t="s">
        <v>61</v>
      </c>
      <c r="U21" s="8" t="s">
        <v>104</v>
      </c>
      <c r="V21" s="40">
        <f t="shared" si="4"/>
        <v>0.95</v>
      </c>
      <c r="W21" s="42">
        <v>0.83299999999999996</v>
      </c>
      <c r="X21" s="42">
        <f>W21/V21</f>
        <v>0.87684210526315787</v>
      </c>
      <c r="Y21" s="36" t="s">
        <v>89</v>
      </c>
      <c r="Z21" s="33" t="s">
        <v>89</v>
      </c>
      <c r="AA21" s="40">
        <f t="shared" si="5"/>
        <v>0.95</v>
      </c>
      <c r="AB21" s="55">
        <v>0.85319999999999996</v>
      </c>
      <c r="AC21" s="55">
        <f t="shared" si="9"/>
        <v>0.89810526315789474</v>
      </c>
      <c r="AD21" s="90" t="s">
        <v>231</v>
      </c>
      <c r="AE21" s="90" t="s">
        <v>223</v>
      </c>
      <c r="AF21" s="26">
        <f t="shared" si="1"/>
        <v>0.95</v>
      </c>
      <c r="AG21" s="54"/>
      <c r="AH21" s="55">
        <f t="shared" si="6"/>
        <v>0</v>
      </c>
      <c r="AI21" s="63"/>
      <c r="AJ21" s="63"/>
      <c r="AK21" s="26">
        <f t="shared" si="2"/>
        <v>0.95</v>
      </c>
      <c r="AL21" s="54"/>
      <c r="AM21" s="55">
        <f t="shared" si="7"/>
        <v>0</v>
      </c>
      <c r="AN21" s="63"/>
      <c r="AO21" s="63"/>
      <c r="AP21" s="40">
        <f t="shared" si="8"/>
        <v>0.95</v>
      </c>
      <c r="AQ21" s="50">
        <f>(83.3%*25%)+(85.32%*25%)</f>
        <v>0.42154999999999998</v>
      </c>
      <c r="AR21" s="49">
        <f t="shared" si="3"/>
        <v>0.44373684210526315</v>
      </c>
      <c r="AS21" s="38" t="s">
        <v>232</v>
      </c>
    </row>
    <row r="22" spans="1:45" s="28" customFormat="1" ht="90" x14ac:dyDescent="0.25">
      <c r="A22" s="59">
        <v>4</v>
      </c>
      <c r="B22" s="59" t="s">
        <v>50</v>
      </c>
      <c r="C22" s="59" t="s">
        <v>81</v>
      </c>
      <c r="D22" s="59" t="s">
        <v>105</v>
      </c>
      <c r="E22" s="4">
        <f t="shared" si="0"/>
        <v>4.4444444444444481E-2</v>
      </c>
      <c r="F22" s="59" t="s">
        <v>53</v>
      </c>
      <c r="G22" s="59" t="s">
        <v>106</v>
      </c>
      <c r="H22" s="59" t="s">
        <v>107</v>
      </c>
      <c r="I22" s="59"/>
      <c r="J22" s="59" t="s">
        <v>69</v>
      </c>
      <c r="K22" s="59" t="s">
        <v>57</v>
      </c>
      <c r="L22" s="6">
        <v>1</v>
      </c>
      <c r="M22" s="6">
        <v>1</v>
      </c>
      <c r="N22" s="6">
        <v>1</v>
      </c>
      <c r="O22" s="6">
        <v>1</v>
      </c>
      <c r="P22" s="6">
        <v>1</v>
      </c>
      <c r="Q22" s="59" t="s">
        <v>85</v>
      </c>
      <c r="R22" s="8" t="s">
        <v>86</v>
      </c>
      <c r="S22" s="8" t="s">
        <v>108</v>
      </c>
      <c r="T22" s="8" t="s">
        <v>61</v>
      </c>
      <c r="U22" s="8" t="s">
        <v>109</v>
      </c>
      <c r="V22" s="40">
        <f t="shared" si="4"/>
        <v>1</v>
      </c>
      <c r="W22" s="41">
        <v>0.4</v>
      </c>
      <c r="X22" s="42">
        <f>W22/V22</f>
        <v>0.4</v>
      </c>
      <c r="Y22" s="36" t="s">
        <v>89</v>
      </c>
      <c r="Z22" s="33" t="s">
        <v>89</v>
      </c>
      <c r="AA22" s="40">
        <f t="shared" si="5"/>
        <v>1</v>
      </c>
      <c r="AB22" s="91">
        <v>0.76690000000000003</v>
      </c>
      <c r="AC22" s="55">
        <f t="shared" si="9"/>
        <v>0.76690000000000003</v>
      </c>
      <c r="AD22" s="36" t="s">
        <v>233</v>
      </c>
      <c r="AE22" s="36" t="s">
        <v>223</v>
      </c>
      <c r="AF22" s="26">
        <f t="shared" si="1"/>
        <v>1</v>
      </c>
      <c r="AG22" s="54"/>
      <c r="AH22" s="55">
        <f t="shared" si="6"/>
        <v>0</v>
      </c>
      <c r="AI22" s="63"/>
      <c r="AJ22" s="63"/>
      <c r="AK22" s="26">
        <f t="shared" si="2"/>
        <v>1</v>
      </c>
      <c r="AL22" s="54"/>
      <c r="AM22" s="55">
        <f t="shared" si="7"/>
        <v>0</v>
      </c>
      <c r="AN22" s="63"/>
      <c r="AO22" s="63"/>
      <c r="AP22" s="40">
        <f t="shared" si="8"/>
        <v>1</v>
      </c>
      <c r="AQ22" s="50">
        <f>(40%*25%)+(76.69%*25%)</f>
        <v>0.29172500000000001</v>
      </c>
      <c r="AR22" s="49">
        <f t="shared" si="3"/>
        <v>0.29172500000000001</v>
      </c>
      <c r="AS22" s="38" t="s">
        <v>234</v>
      </c>
    </row>
    <row r="23" spans="1:45" s="28" customFormat="1" ht="135" x14ac:dyDescent="0.25">
      <c r="A23" s="59">
        <v>4</v>
      </c>
      <c r="B23" s="59" t="s">
        <v>50</v>
      </c>
      <c r="C23" s="59" t="s">
        <v>81</v>
      </c>
      <c r="D23" s="59" t="s">
        <v>110</v>
      </c>
      <c r="E23" s="4">
        <f t="shared" si="0"/>
        <v>4.4444444444444481E-2</v>
      </c>
      <c r="F23" s="59" t="s">
        <v>53</v>
      </c>
      <c r="G23" s="59" t="s">
        <v>111</v>
      </c>
      <c r="H23" s="59" t="s">
        <v>112</v>
      </c>
      <c r="I23" s="59"/>
      <c r="J23" s="59" t="s">
        <v>69</v>
      </c>
      <c r="K23" s="59" t="s">
        <v>57</v>
      </c>
      <c r="L23" s="6">
        <v>0.95</v>
      </c>
      <c r="M23" s="6">
        <v>0.95</v>
      </c>
      <c r="N23" s="6">
        <v>0.95</v>
      </c>
      <c r="O23" s="6">
        <v>0.95</v>
      </c>
      <c r="P23" s="6">
        <v>0.95</v>
      </c>
      <c r="Q23" s="59" t="s">
        <v>85</v>
      </c>
      <c r="R23" s="59" t="s">
        <v>113</v>
      </c>
      <c r="S23" s="59" t="s">
        <v>114</v>
      </c>
      <c r="T23" s="59" t="s">
        <v>61</v>
      </c>
      <c r="U23" s="8" t="s">
        <v>114</v>
      </c>
      <c r="V23" s="40">
        <f t="shared" si="4"/>
        <v>0.95</v>
      </c>
      <c r="W23" s="41">
        <v>0</v>
      </c>
      <c r="X23" s="41">
        <v>0</v>
      </c>
      <c r="Y23" s="36" t="s">
        <v>115</v>
      </c>
      <c r="Z23" s="33" t="s">
        <v>116</v>
      </c>
      <c r="AA23" s="40">
        <f t="shared" si="5"/>
        <v>0.95</v>
      </c>
      <c r="AB23" s="92">
        <v>0.95</v>
      </c>
      <c r="AC23" s="55">
        <f t="shared" si="9"/>
        <v>1</v>
      </c>
      <c r="AD23" s="36" t="s">
        <v>265</v>
      </c>
      <c r="AE23" s="36" t="s">
        <v>266</v>
      </c>
      <c r="AF23" s="26">
        <f t="shared" si="1"/>
        <v>0.95</v>
      </c>
      <c r="AG23" s="54"/>
      <c r="AH23" s="55">
        <f t="shared" si="6"/>
        <v>0</v>
      </c>
      <c r="AI23" s="63"/>
      <c r="AJ23" s="63"/>
      <c r="AK23" s="26">
        <f t="shared" si="2"/>
        <v>0.95</v>
      </c>
      <c r="AL23" s="54"/>
      <c r="AM23" s="55">
        <f t="shared" si="7"/>
        <v>0</v>
      </c>
      <c r="AN23" s="63"/>
      <c r="AO23" s="63"/>
      <c r="AP23" s="40">
        <f t="shared" si="8"/>
        <v>0.95</v>
      </c>
      <c r="AQ23" s="40">
        <f>(0%*25%)+(95%*25%)</f>
        <v>0.23749999999999999</v>
      </c>
      <c r="AR23" s="49">
        <f t="shared" si="3"/>
        <v>0.25</v>
      </c>
      <c r="AS23" s="36" t="s">
        <v>267</v>
      </c>
    </row>
    <row r="24" spans="1:45" s="28" customFormat="1" ht="75" x14ac:dyDescent="0.25">
      <c r="A24" s="59">
        <v>4</v>
      </c>
      <c r="B24" s="59" t="s">
        <v>50</v>
      </c>
      <c r="C24" s="59" t="s">
        <v>117</v>
      </c>
      <c r="D24" s="59" t="s">
        <v>118</v>
      </c>
      <c r="E24" s="4">
        <f t="shared" si="0"/>
        <v>4.4444444444444481E-2</v>
      </c>
      <c r="F24" s="59" t="s">
        <v>73</v>
      </c>
      <c r="G24" s="59" t="s">
        <v>119</v>
      </c>
      <c r="H24" s="59" t="s">
        <v>120</v>
      </c>
      <c r="I24" s="59"/>
      <c r="J24" s="59" t="s">
        <v>121</v>
      </c>
      <c r="K24" s="59" t="s">
        <v>122</v>
      </c>
      <c r="L24" s="9">
        <v>2400</v>
      </c>
      <c r="M24" s="9">
        <v>2400</v>
      </c>
      <c r="N24" s="9">
        <v>2400</v>
      </c>
      <c r="O24" s="9">
        <v>2400</v>
      </c>
      <c r="P24" s="10">
        <f>SUM(L24:O24)</f>
        <v>9600</v>
      </c>
      <c r="Q24" s="59" t="s">
        <v>85</v>
      </c>
      <c r="R24" s="59" t="s">
        <v>123</v>
      </c>
      <c r="S24" s="59" t="s">
        <v>124</v>
      </c>
      <c r="T24" s="59" t="s">
        <v>61</v>
      </c>
      <c r="U24" s="59" t="s">
        <v>124</v>
      </c>
      <c r="V24" s="43">
        <f t="shared" si="4"/>
        <v>2400</v>
      </c>
      <c r="W24" s="44">
        <v>6614</v>
      </c>
      <c r="X24" s="41">
        <v>1</v>
      </c>
      <c r="Y24" s="36" t="s">
        <v>260</v>
      </c>
      <c r="Z24" s="33" t="s">
        <v>89</v>
      </c>
      <c r="AA24" s="43">
        <f t="shared" si="5"/>
        <v>2400</v>
      </c>
      <c r="AB24" s="93">
        <v>3289</v>
      </c>
      <c r="AC24" s="55">
        <f t="shared" si="9"/>
        <v>1</v>
      </c>
      <c r="AD24" s="36" t="s">
        <v>236</v>
      </c>
      <c r="AE24" s="36" t="s">
        <v>235</v>
      </c>
      <c r="AF24" s="9">
        <f t="shared" si="1"/>
        <v>2400</v>
      </c>
      <c r="AG24" s="56"/>
      <c r="AH24" s="55">
        <f t="shared" si="6"/>
        <v>0</v>
      </c>
      <c r="AI24" s="63"/>
      <c r="AJ24" s="63"/>
      <c r="AK24" s="29">
        <f t="shared" si="2"/>
        <v>2400</v>
      </c>
      <c r="AL24" s="56"/>
      <c r="AM24" s="55">
        <f t="shared" si="7"/>
        <v>0</v>
      </c>
      <c r="AN24" s="63"/>
      <c r="AO24" s="63"/>
      <c r="AP24" s="43">
        <f t="shared" si="8"/>
        <v>9600</v>
      </c>
      <c r="AQ24" s="51">
        <f>6614+3289</f>
        <v>9903</v>
      </c>
      <c r="AR24" s="49">
        <f t="shared" si="3"/>
        <v>1</v>
      </c>
      <c r="AS24" s="36" t="s">
        <v>237</v>
      </c>
    </row>
    <row r="25" spans="1:45" s="28" customFormat="1" ht="84" customHeight="1" x14ac:dyDescent="0.25">
      <c r="A25" s="59">
        <v>4</v>
      </c>
      <c r="B25" s="59" t="s">
        <v>50</v>
      </c>
      <c r="C25" s="59" t="s">
        <v>117</v>
      </c>
      <c r="D25" s="59" t="s">
        <v>125</v>
      </c>
      <c r="E25" s="4">
        <f t="shared" si="0"/>
        <v>4.4444444444444481E-2</v>
      </c>
      <c r="F25" s="59" t="s">
        <v>53</v>
      </c>
      <c r="G25" s="59" t="s">
        <v>126</v>
      </c>
      <c r="H25" s="59" t="s">
        <v>127</v>
      </c>
      <c r="I25" s="59"/>
      <c r="J25" s="59" t="s">
        <v>121</v>
      </c>
      <c r="K25" s="59" t="s">
        <v>128</v>
      </c>
      <c r="L25" s="9">
        <v>1200</v>
      </c>
      <c r="M25" s="9">
        <v>1200</v>
      </c>
      <c r="N25" s="9">
        <v>1200</v>
      </c>
      <c r="O25" s="9">
        <v>1200</v>
      </c>
      <c r="P25" s="10">
        <f>SUM(L25:O25)</f>
        <v>4800</v>
      </c>
      <c r="Q25" s="59" t="s">
        <v>85</v>
      </c>
      <c r="R25" s="59" t="s">
        <v>129</v>
      </c>
      <c r="S25" s="59" t="s">
        <v>124</v>
      </c>
      <c r="T25" s="59" t="s">
        <v>61</v>
      </c>
      <c r="U25" s="59" t="s">
        <v>124</v>
      </c>
      <c r="V25" s="43">
        <f t="shared" si="4"/>
        <v>1200</v>
      </c>
      <c r="W25" s="44">
        <v>2972</v>
      </c>
      <c r="X25" s="41">
        <v>1</v>
      </c>
      <c r="Y25" s="36" t="s">
        <v>130</v>
      </c>
      <c r="Z25" s="33" t="s">
        <v>89</v>
      </c>
      <c r="AA25" s="43">
        <f t="shared" si="5"/>
        <v>1200</v>
      </c>
      <c r="AB25" s="93">
        <v>1658</v>
      </c>
      <c r="AC25" s="55">
        <f t="shared" si="9"/>
        <v>1</v>
      </c>
      <c r="AD25" s="90" t="s">
        <v>238</v>
      </c>
      <c r="AE25" s="90" t="s">
        <v>235</v>
      </c>
      <c r="AF25" s="9">
        <f t="shared" si="1"/>
        <v>1200</v>
      </c>
      <c r="AG25" s="56"/>
      <c r="AH25" s="55">
        <f t="shared" si="6"/>
        <v>0</v>
      </c>
      <c r="AI25" s="63"/>
      <c r="AJ25" s="63"/>
      <c r="AK25" s="29">
        <f t="shared" si="2"/>
        <v>1200</v>
      </c>
      <c r="AL25" s="56"/>
      <c r="AM25" s="55">
        <f t="shared" si="7"/>
        <v>0</v>
      </c>
      <c r="AN25" s="63"/>
      <c r="AO25" s="63"/>
      <c r="AP25" s="43">
        <f t="shared" si="8"/>
        <v>4800</v>
      </c>
      <c r="AQ25" s="51">
        <f>2972+1658</f>
        <v>4630</v>
      </c>
      <c r="AR25" s="49">
        <f t="shared" si="3"/>
        <v>0.96458333333333335</v>
      </c>
      <c r="AS25" s="36" t="s">
        <v>239</v>
      </c>
    </row>
    <row r="26" spans="1:45" s="28" customFormat="1" ht="60" x14ac:dyDescent="0.25">
      <c r="A26" s="59">
        <v>4</v>
      </c>
      <c r="B26" s="59" t="s">
        <v>50</v>
      </c>
      <c r="C26" s="59" t="s">
        <v>117</v>
      </c>
      <c r="D26" s="59" t="s">
        <v>131</v>
      </c>
      <c r="E26" s="4">
        <f t="shared" si="0"/>
        <v>4.4444444444444481E-2</v>
      </c>
      <c r="F26" s="59" t="s">
        <v>53</v>
      </c>
      <c r="G26" s="59" t="s">
        <v>132</v>
      </c>
      <c r="H26" s="59" t="s">
        <v>133</v>
      </c>
      <c r="I26" s="59"/>
      <c r="J26" s="59" t="s">
        <v>121</v>
      </c>
      <c r="K26" s="59" t="s">
        <v>134</v>
      </c>
      <c r="L26" s="11">
        <v>66</v>
      </c>
      <c r="M26" s="11">
        <v>101</v>
      </c>
      <c r="N26" s="11">
        <v>101</v>
      </c>
      <c r="O26" s="11">
        <v>66</v>
      </c>
      <c r="P26" s="10">
        <f>SUM(L26:O26)</f>
        <v>334</v>
      </c>
      <c r="Q26" s="59" t="s">
        <v>85</v>
      </c>
      <c r="R26" s="59" t="s">
        <v>135</v>
      </c>
      <c r="S26" s="59" t="s">
        <v>136</v>
      </c>
      <c r="T26" s="59" t="s">
        <v>61</v>
      </c>
      <c r="U26" s="59" t="s">
        <v>136</v>
      </c>
      <c r="V26" s="43">
        <f t="shared" si="4"/>
        <v>66</v>
      </c>
      <c r="W26" s="44">
        <v>8</v>
      </c>
      <c r="X26" s="45">
        <f>W26/V26</f>
        <v>0.12121212121212122</v>
      </c>
      <c r="Y26" s="36" t="s">
        <v>137</v>
      </c>
      <c r="Z26" s="33" t="s">
        <v>89</v>
      </c>
      <c r="AA26" s="43">
        <f t="shared" si="5"/>
        <v>101</v>
      </c>
      <c r="AB26" s="94">
        <v>228</v>
      </c>
      <c r="AC26" s="55">
        <f t="shared" si="9"/>
        <v>1</v>
      </c>
      <c r="AD26" s="90" t="s">
        <v>240</v>
      </c>
      <c r="AE26" s="90" t="s">
        <v>235</v>
      </c>
      <c r="AF26" s="9">
        <f t="shared" si="1"/>
        <v>101</v>
      </c>
      <c r="AG26" s="56"/>
      <c r="AH26" s="55">
        <f t="shared" si="6"/>
        <v>0</v>
      </c>
      <c r="AI26" s="63"/>
      <c r="AJ26" s="63"/>
      <c r="AK26" s="29">
        <f t="shared" si="2"/>
        <v>66</v>
      </c>
      <c r="AL26" s="56"/>
      <c r="AM26" s="55">
        <f t="shared" si="7"/>
        <v>0</v>
      </c>
      <c r="AN26" s="63"/>
      <c r="AO26" s="63"/>
      <c r="AP26" s="43">
        <f t="shared" si="8"/>
        <v>334</v>
      </c>
      <c r="AQ26" s="51">
        <f>8+228</f>
        <v>236</v>
      </c>
      <c r="AR26" s="49">
        <f t="shared" si="3"/>
        <v>0.70658682634730541</v>
      </c>
      <c r="AS26" s="36" t="s">
        <v>241</v>
      </c>
    </row>
    <row r="27" spans="1:45" s="28" customFormat="1" ht="75" x14ac:dyDescent="0.25">
      <c r="A27" s="59">
        <v>4</v>
      </c>
      <c r="B27" s="59" t="s">
        <v>50</v>
      </c>
      <c r="C27" s="59" t="s">
        <v>117</v>
      </c>
      <c r="D27" s="59" t="s">
        <v>138</v>
      </c>
      <c r="E27" s="4">
        <f t="shared" si="0"/>
        <v>4.4444444444444481E-2</v>
      </c>
      <c r="F27" s="59" t="s">
        <v>73</v>
      </c>
      <c r="G27" s="59" t="s">
        <v>139</v>
      </c>
      <c r="H27" s="59" t="s">
        <v>140</v>
      </c>
      <c r="I27" s="59"/>
      <c r="J27" s="59" t="s">
        <v>121</v>
      </c>
      <c r="K27" s="59" t="s">
        <v>135</v>
      </c>
      <c r="L27" s="11">
        <v>180</v>
      </c>
      <c r="M27" s="11">
        <v>272</v>
      </c>
      <c r="N27" s="11">
        <v>271</v>
      </c>
      <c r="O27" s="11">
        <v>180</v>
      </c>
      <c r="P27" s="10">
        <f>SUM(L27:O27)</f>
        <v>903</v>
      </c>
      <c r="Q27" s="59" t="s">
        <v>85</v>
      </c>
      <c r="R27" s="59" t="s">
        <v>135</v>
      </c>
      <c r="S27" s="59" t="s">
        <v>136</v>
      </c>
      <c r="T27" s="59" t="s">
        <v>61</v>
      </c>
      <c r="U27" s="59" t="s">
        <v>136</v>
      </c>
      <c r="V27" s="43">
        <f t="shared" si="4"/>
        <v>180</v>
      </c>
      <c r="W27" s="44">
        <v>0</v>
      </c>
      <c r="X27" s="41">
        <v>0</v>
      </c>
      <c r="Y27" s="36" t="s">
        <v>141</v>
      </c>
      <c r="Z27" s="33" t="s">
        <v>89</v>
      </c>
      <c r="AA27" s="43">
        <f t="shared" si="5"/>
        <v>272</v>
      </c>
      <c r="AB27" s="94">
        <v>89</v>
      </c>
      <c r="AC27" s="55">
        <f t="shared" si="9"/>
        <v>0.32720588235294118</v>
      </c>
      <c r="AD27" s="90" t="s">
        <v>242</v>
      </c>
      <c r="AE27" s="90" t="s">
        <v>235</v>
      </c>
      <c r="AF27" s="9">
        <f t="shared" si="1"/>
        <v>271</v>
      </c>
      <c r="AG27" s="56"/>
      <c r="AH27" s="55">
        <f t="shared" si="6"/>
        <v>0</v>
      </c>
      <c r="AI27" s="63"/>
      <c r="AJ27" s="63"/>
      <c r="AK27" s="29">
        <f t="shared" si="2"/>
        <v>180</v>
      </c>
      <c r="AL27" s="56"/>
      <c r="AM27" s="55">
        <f t="shared" si="7"/>
        <v>0</v>
      </c>
      <c r="AN27" s="63"/>
      <c r="AO27" s="63"/>
      <c r="AP27" s="43">
        <f t="shared" si="8"/>
        <v>903</v>
      </c>
      <c r="AQ27" s="51">
        <v>89</v>
      </c>
      <c r="AR27" s="49">
        <f t="shared" si="3"/>
        <v>9.8560354374307865E-2</v>
      </c>
      <c r="AS27" s="36" t="s">
        <v>243</v>
      </c>
    </row>
    <row r="28" spans="1:45" s="28" customFormat="1" ht="90" x14ac:dyDescent="0.25">
      <c r="A28" s="59">
        <v>4</v>
      </c>
      <c r="B28" s="59" t="s">
        <v>50</v>
      </c>
      <c r="C28" s="59" t="s">
        <v>117</v>
      </c>
      <c r="D28" s="59" t="s">
        <v>142</v>
      </c>
      <c r="E28" s="4">
        <f t="shared" si="0"/>
        <v>4.4444444444444481E-2</v>
      </c>
      <c r="F28" s="59" t="s">
        <v>73</v>
      </c>
      <c r="G28" s="59" t="s">
        <v>143</v>
      </c>
      <c r="H28" s="59" t="s">
        <v>144</v>
      </c>
      <c r="I28" s="59"/>
      <c r="J28" s="59" t="s">
        <v>121</v>
      </c>
      <c r="K28" s="59" t="s">
        <v>145</v>
      </c>
      <c r="L28" s="11">
        <v>24</v>
      </c>
      <c r="M28" s="11">
        <v>30</v>
      </c>
      <c r="N28" s="11">
        <v>30</v>
      </c>
      <c r="O28" s="11">
        <v>28</v>
      </c>
      <c r="P28" s="10">
        <f>SUM(L28:O28)</f>
        <v>112</v>
      </c>
      <c r="Q28" s="59" t="s">
        <v>85</v>
      </c>
      <c r="R28" s="59" t="s">
        <v>146</v>
      </c>
      <c r="S28" s="59" t="s">
        <v>147</v>
      </c>
      <c r="T28" s="59" t="s">
        <v>61</v>
      </c>
      <c r="U28" s="59" t="s">
        <v>146</v>
      </c>
      <c r="V28" s="43">
        <f t="shared" si="4"/>
        <v>24</v>
      </c>
      <c r="W28" s="44">
        <v>6</v>
      </c>
      <c r="X28" s="45">
        <f>W28/V28</f>
        <v>0.25</v>
      </c>
      <c r="Y28" s="36" t="s">
        <v>148</v>
      </c>
      <c r="Z28" s="33" t="s">
        <v>149</v>
      </c>
      <c r="AA28" s="43">
        <f t="shared" si="5"/>
        <v>30</v>
      </c>
      <c r="AB28" s="93">
        <v>9</v>
      </c>
      <c r="AC28" s="55">
        <f>IF(AB28/AA28&gt;100%,100%,AB28/AA28)</f>
        <v>0.3</v>
      </c>
      <c r="AD28" s="38" t="s">
        <v>150</v>
      </c>
      <c r="AE28" s="38" t="s">
        <v>244</v>
      </c>
      <c r="AF28" s="9">
        <f t="shared" si="1"/>
        <v>30</v>
      </c>
      <c r="AG28" s="56"/>
      <c r="AH28" s="55">
        <f t="shared" si="6"/>
        <v>0</v>
      </c>
      <c r="AI28" s="63"/>
      <c r="AJ28" s="63"/>
      <c r="AK28" s="29">
        <f t="shared" si="2"/>
        <v>28</v>
      </c>
      <c r="AL28" s="56"/>
      <c r="AM28" s="55">
        <f t="shared" si="7"/>
        <v>0</v>
      </c>
      <c r="AN28" s="63"/>
      <c r="AO28" s="63"/>
      <c r="AP28" s="43">
        <f t="shared" si="8"/>
        <v>112</v>
      </c>
      <c r="AQ28" s="51">
        <f>6+9</f>
        <v>15</v>
      </c>
      <c r="AR28" s="49">
        <f t="shared" si="3"/>
        <v>0.13392857142857142</v>
      </c>
      <c r="AS28" s="36" t="s">
        <v>245</v>
      </c>
    </row>
    <row r="29" spans="1:45" s="28" customFormat="1" ht="146.25" customHeight="1" x14ac:dyDescent="0.25">
      <c r="A29" s="59">
        <v>4</v>
      </c>
      <c r="B29" s="59" t="s">
        <v>50</v>
      </c>
      <c r="C29" s="59" t="s">
        <v>117</v>
      </c>
      <c r="D29" s="59" t="s">
        <v>152</v>
      </c>
      <c r="E29" s="4">
        <f t="shared" si="0"/>
        <v>4.4444444444444481E-2</v>
      </c>
      <c r="F29" s="59" t="s">
        <v>73</v>
      </c>
      <c r="G29" s="59" t="s">
        <v>153</v>
      </c>
      <c r="H29" s="59" t="s">
        <v>154</v>
      </c>
      <c r="I29" s="59"/>
      <c r="J29" s="59" t="s">
        <v>121</v>
      </c>
      <c r="K29" s="59" t="s">
        <v>145</v>
      </c>
      <c r="L29" s="11">
        <v>26</v>
      </c>
      <c r="M29" s="11">
        <v>36</v>
      </c>
      <c r="N29" s="11">
        <v>36</v>
      </c>
      <c r="O29" s="11">
        <v>32</v>
      </c>
      <c r="P29" s="10">
        <v>130</v>
      </c>
      <c r="Q29" s="59" t="s">
        <v>85</v>
      </c>
      <c r="R29" s="59" t="s">
        <v>146</v>
      </c>
      <c r="S29" s="59" t="s">
        <v>147</v>
      </c>
      <c r="T29" s="59" t="s">
        <v>61</v>
      </c>
      <c r="U29" s="59" t="s">
        <v>146</v>
      </c>
      <c r="V29" s="43">
        <f t="shared" si="4"/>
        <v>26</v>
      </c>
      <c r="W29" s="44">
        <v>28</v>
      </c>
      <c r="X29" s="45">
        <v>1</v>
      </c>
      <c r="Y29" s="36" t="s">
        <v>155</v>
      </c>
      <c r="Z29" s="33" t="s">
        <v>149</v>
      </c>
      <c r="AA29" s="43">
        <f t="shared" si="5"/>
        <v>36</v>
      </c>
      <c r="AB29" s="93">
        <v>49</v>
      </c>
      <c r="AC29" s="55">
        <f t="shared" ref="AC29:AC30" si="10">IF(AB29/AA29&gt;100%,100%,AB29/AA29)</f>
        <v>1</v>
      </c>
      <c r="AD29" s="38" t="s">
        <v>156</v>
      </c>
      <c r="AE29" s="38" t="s">
        <v>244</v>
      </c>
      <c r="AF29" s="9">
        <f t="shared" si="1"/>
        <v>36</v>
      </c>
      <c r="AG29" s="56"/>
      <c r="AH29" s="55">
        <f t="shared" si="6"/>
        <v>0</v>
      </c>
      <c r="AI29" s="63"/>
      <c r="AJ29" s="63"/>
      <c r="AK29" s="29">
        <f t="shared" si="2"/>
        <v>32</v>
      </c>
      <c r="AL29" s="56"/>
      <c r="AM29" s="55">
        <f t="shared" si="7"/>
        <v>0</v>
      </c>
      <c r="AN29" s="63"/>
      <c r="AO29" s="63"/>
      <c r="AP29" s="43">
        <f t="shared" si="8"/>
        <v>130</v>
      </c>
      <c r="AQ29" s="51">
        <f>28+49</f>
        <v>77</v>
      </c>
      <c r="AR29" s="49">
        <f t="shared" si="3"/>
        <v>0.59230769230769231</v>
      </c>
      <c r="AS29" s="36" t="s">
        <v>246</v>
      </c>
    </row>
    <row r="30" spans="1:45" s="28" customFormat="1" ht="90" x14ac:dyDescent="0.25">
      <c r="A30" s="59">
        <v>4</v>
      </c>
      <c r="B30" s="59" t="s">
        <v>50</v>
      </c>
      <c r="C30" s="59" t="s">
        <v>117</v>
      </c>
      <c r="D30" s="59" t="s">
        <v>157</v>
      </c>
      <c r="E30" s="4">
        <f t="shared" si="0"/>
        <v>4.4444444444444481E-2</v>
      </c>
      <c r="F30" s="59" t="s">
        <v>73</v>
      </c>
      <c r="G30" s="59" t="s">
        <v>158</v>
      </c>
      <c r="H30" s="59" t="s">
        <v>159</v>
      </c>
      <c r="I30" s="59"/>
      <c r="J30" s="59" t="s">
        <v>121</v>
      </c>
      <c r="K30" s="59" t="s">
        <v>145</v>
      </c>
      <c r="L30" s="11">
        <v>7</v>
      </c>
      <c r="M30" s="11">
        <v>10</v>
      </c>
      <c r="N30" s="11">
        <v>9</v>
      </c>
      <c r="O30" s="11">
        <v>8</v>
      </c>
      <c r="P30" s="10">
        <v>34</v>
      </c>
      <c r="Q30" s="59" t="s">
        <v>85</v>
      </c>
      <c r="R30" s="59" t="s">
        <v>146</v>
      </c>
      <c r="S30" s="59" t="s">
        <v>147</v>
      </c>
      <c r="T30" s="59" t="s">
        <v>61</v>
      </c>
      <c r="U30" s="59" t="s">
        <v>146</v>
      </c>
      <c r="V30" s="43">
        <f t="shared" si="4"/>
        <v>7</v>
      </c>
      <c r="W30" s="44">
        <v>1</v>
      </c>
      <c r="X30" s="45">
        <f>W30/V30</f>
        <v>0.14285714285714285</v>
      </c>
      <c r="Y30" s="36" t="s">
        <v>160</v>
      </c>
      <c r="Z30" s="33" t="s">
        <v>161</v>
      </c>
      <c r="AA30" s="43">
        <f t="shared" si="5"/>
        <v>10</v>
      </c>
      <c r="AB30" s="93">
        <v>4</v>
      </c>
      <c r="AC30" s="55">
        <f t="shared" si="10"/>
        <v>0.4</v>
      </c>
      <c r="AD30" s="38" t="s">
        <v>162</v>
      </c>
      <c r="AE30" s="38" t="s">
        <v>244</v>
      </c>
      <c r="AF30" s="9">
        <f t="shared" si="1"/>
        <v>9</v>
      </c>
      <c r="AG30" s="56"/>
      <c r="AH30" s="55">
        <f t="shared" si="6"/>
        <v>0</v>
      </c>
      <c r="AI30" s="63"/>
      <c r="AJ30" s="63"/>
      <c r="AK30" s="29">
        <f t="shared" si="2"/>
        <v>8</v>
      </c>
      <c r="AL30" s="56"/>
      <c r="AM30" s="55">
        <f t="shared" si="7"/>
        <v>0</v>
      </c>
      <c r="AN30" s="63"/>
      <c r="AO30" s="63"/>
      <c r="AP30" s="43">
        <f t="shared" si="8"/>
        <v>34</v>
      </c>
      <c r="AQ30" s="51">
        <f>1+4</f>
        <v>5</v>
      </c>
      <c r="AR30" s="49">
        <f t="shared" si="3"/>
        <v>0.14705882352941177</v>
      </c>
      <c r="AS30" s="36" t="s">
        <v>247</v>
      </c>
    </row>
    <row r="31" spans="1:45" s="28" customFormat="1" ht="105" x14ac:dyDescent="0.25">
      <c r="A31" s="59">
        <v>4</v>
      </c>
      <c r="B31" s="59" t="s">
        <v>50</v>
      </c>
      <c r="C31" s="59" t="s">
        <v>117</v>
      </c>
      <c r="D31" s="59" t="s">
        <v>163</v>
      </c>
      <c r="E31" s="4">
        <f>+(5.55555555555556%*80%)/100%</f>
        <v>4.4444444444444481E-2</v>
      </c>
      <c r="F31" s="59" t="s">
        <v>73</v>
      </c>
      <c r="G31" s="59" t="s">
        <v>164</v>
      </c>
      <c r="H31" s="59" t="s">
        <v>165</v>
      </c>
      <c r="I31" s="59"/>
      <c r="J31" s="59" t="s">
        <v>121</v>
      </c>
      <c r="K31" s="59" t="s">
        <v>145</v>
      </c>
      <c r="L31" s="11">
        <v>9</v>
      </c>
      <c r="M31" s="11">
        <v>12</v>
      </c>
      <c r="N31" s="11">
        <v>12</v>
      </c>
      <c r="O31" s="11">
        <v>11</v>
      </c>
      <c r="P31" s="10">
        <v>44</v>
      </c>
      <c r="Q31" s="59" t="s">
        <v>85</v>
      </c>
      <c r="R31" s="59" t="s">
        <v>146</v>
      </c>
      <c r="S31" s="59" t="s">
        <v>147</v>
      </c>
      <c r="T31" s="59" t="s">
        <v>61</v>
      </c>
      <c r="U31" s="59" t="s">
        <v>146</v>
      </c>
      <c r="V31" s="43">
        <f t="shared" si="4"/>
        <v>9</v>
      </c>
      <c r="W31" s="44">
        <v>8</v>
      </c>
      <c r="X31" s="45">
        <f>W31/V31</f>
        <v>0.88888888888888884</v>
      </c>
      <c r="Y31" s="36" t="s">
        <v>166</v>
      </c>
      <c r="Z31" s="33" t="s">
        <v>149</v>
      </c>
      <c r="AA31" s="43">
        <f t="shared" si="5"/>
        <v>12</v>
      </c>
      <c r="AB31" s="93">
        <v>14</v>
      </c>
      <c r="AC31" s="55">
        <f>IF(AB31/AA31&gt;100%,100%,AB31/AA31)</f>
        <v>1</v>
      </c>
      <c r="AD31" s="38" t="s">
        <v>167</v>
      </c>
      <c r="AE31" s="38" t="s">
        <v>151</v>
      </c>
      <c r="AF31" s="9">
        <f t="shared" si="1"/>
        <v>12</v>
      </c>
      <c r="AG31" s="56"/>
      <c r="AH31" s="55">
        <f>IF(AG31/AF31&gt;100%,100%,AG31/AF31)</f>
        <v>0</v>
      </c>
      <c r="AI31" s="63"/>
      <c r="AJ31" s="63"/>
      <c r="AK31" s="29">
        <f t="shared" si="2"/>
        <v>11</v>
      </c>
      <c r="AL31" s="56"/>
      <c r="AM31" s="55">
        <f>IF(AL31/AK31&gt;100%,100%,AL31/AK31)</f>
        <v>0</v>
      </c>
      <c r="AN31" s="63"/>
      <c r="AO31" s="63"/>
      <c r="AP31" s="43">
        <f t="shared" si="8"/>
        <v>44</v>
      </c>
      <c r="AQ31" s="51">
        <f>8+14</f>
        <v>22</v>
      </c>
      <c r="AR31" s="49">
        <f t="shared" si="3"/>
        <v>0.5</v>
      </c>
      <c r="AS31" s="36" t="s">
        <v>248</v>
      </c>
    </row>
    <row r="32" spans="1:45" s="30" customFormat="1" ht="15.75" x14ac:dyDescent="0.25">
      <c r="A32" s="12"/>
      <c r="B32" s="12"/>
      <c r="C32" s="12"/>
      <c r="D32" s="13" t="s">
        <v>168</v>
      </c>
      <c r="E32" s="14">
        <f>SUM(E14:E31)</f>
        <v>0.80000000000000093</v>
      </c>
      <c r="F32" s="12"/>
      <c r="G32" s="12"/>
      <c r="H32" s="12"/>
      <c r="I32" s="12"/>
      <c r="J32" s="12"/>
      <c r="K32" s="12"/>
      <c r="L32" s="15"/>
      <c r="M32" s="15"/>
      <c r="N32" s="15"/>
      <c r="O32" s="15"/>
      <c r="P32" s="15"/>
      <c r="Q32" s="12"/>
      <c r="R32" s="12"/>
      <c r="S32" s="12"/>
      <c r="T32" s="12"/>
      <c r="U32" s="12"/>
      <c r="V32" s="95"/>
      <c r="W32" s="95"/>
      <c r="X32" s="95">
        <f>AVERAGE(X14:X31)*80%</f>
        <v>0.48399001291106558</v>
      </c>
      <c r="Y32" s="104"/>
      <c r="Z32" s="105"/>
      <c r="AA32" s="95"/>
      <c r="AB32" s="95"/>
      <c r="AC32" s="95">
        <f>AVERAGE(AC14:AC31)*80%</f>
        <v>0.65672758331815706</v>
      </c>
      <c r="AD32" s="96"/>
      <c r="AE32" s="96"/>
      <c r="AF32" s="106"/>
      <c r="AG32" s="106"/>
      <c r="AH32" s="95" t="e">
        <f>AVERAGE(AH14:AH31)*80%</f>
        <v>#DIV/0!</v>
      </c>
      <c r="AI32" s="107"/>
      <c r="AJ32" s="107"/>
      <c r="AK32" s="108"/>
      <c r="AL32" s="106"/>
      <c r="AM32" s="95">
        <f>AVERAGE(AM14:AM31)*80%</f>
        <v>0</v>
      </c>
      <c r="AN32" s="107"/>
      <c r="AO32" s="107"/>
      <c r="AP32" s="95"/>
      <c r="AQ32" s="95"/>
      <c r="AR32" s="97">
        <f>AVERAGE(AR14:AR31)*80%</f>
        <v>0.37774318462009782</v>
      </c>
      <c r="AS32" s="104"/>
    </row>
    <row r="33" spans="1:45" ht="105" x14ac:dyDescent="0.25">
      <c r="A33" s="16">
        <v>7</v>
      </c>
      <c r="B33" s="16" t="s">
        <v>169</v>
      </c>
      <c r="C33" s="16" t="s">
        <v>170</v>
      </c>
      <c r="D33" s="16" t="s">
        <v>171</v>
      </c>
      <c r="E33" s="17">
        <v>0.04</v>
      </c>
      <c r="F33" s="16" t="s">
        <v>172</v>
      </c>
      <c r="G33" s="16" t="s">
        <v>173</v>
      </c>
      <c r="H33" s="16" t="s">
        <v>174</v>
      </c>
      <c r="I33" s="16"/>
      <c r="J33" s="18" t="s">
        <v>175</v>
      </c>
      <c r="K33" s="18" t="s">
        <v>176</v>
      </c>
      <c r="L33" s="19">
        <v>0</v>
      </c>
      <c r="M33" s="19">
        <v>0.8</v>
      </c>
      <c r="N33" s="19">
        <v>0</v>
      </c>
      <c r="O33" s="19">
        <v>0.8</v>
      </c>
      <c r="P33" s="19">
        <v>0.8</v>
      </c>
      <c r="Q33" s="16" t="s">
        <v>85</v>
      </c>
      <c r="R33" s="16" t="s">
        <v>177</v>
      </c>
      <c r="S33" s="16" t="s">
        <v>178</v>
      </c>
      <c r="T33" s="16" t="s">
        <v>179</v>
      </c>
      <c r="U33" s="16" t="s">
        <v>180</v>
      </c>
      <c r="V33" s="46" t="s">
        <v>63</v>
      </c>
      <c r="W33" s="46" t="s">
        <v>63</v>
      </c>
      <c r="X33" s="46" t="s">
        <v>63</v>
      </c>
      <c r="Y33" s="119" t="s">
        <v>64</v>
      </c>
      <c r="Z33" s="119" t="s">
        <v>63</v>
      </c>
      <c r="AA33" s="46">
        <f t="shared" si="5"/>
        <v>0.8</v>
      </c>
      <c r="AB33" s="48">
        <v>0.84</v>
      </c>
      <c r="AC33" s="48">
        <f t="shared" ref="AC33:AC37" si="11">IF(AB33/AA33&gt;100%,100%,AB33/AA33)</f>
        <v>1</v>
      </c>
      <c r="AD33" s="37" t="s">
        <v>249</v>
      </c>
      <c r="AE33" s="37" t="s">
        <v>250</v>
      </c>
      <c r="AF33" s="31">
        <f t="shared" si="1"/>
        <v>0</v>
      </c>
      <c r="AG33" s="16"/>
      <c r="AH33" s="16"/>
      <c r="AI33" s="16"/>
      <c r="AJ33" s="16"/>
      <c r="AK33" s="31">
        <f t="shared" si="2"/>
        <v>0.8</v>
      </c>
      <c r="AL33" s="16"/>
      <c r="AM33" s="16"/>
      <c r="AN33" s="16"/>
      <c r="AO33" s="16"/>
      <c r="AP33" s="47">
        <f t="shared" si="8"/>
        <v>0.8</v>
      </c>
      <c r="AQ33" s="47">
        <f>84%*50%</f>
        <v>0.42</v>
      </c>
      <c r="AR33" s="67">
        <f>IF(AQ33/AP33&gt;100%,100%,AQ33/AP33)</f>
        <v>0.52499999999999991</v>
      </c>
      <c r="AS33" s="37" t="s">
        <v>252</v>
      </c>
    </row>
    <row r="34" spans="1:45" ht="120" x14ac:dyDescent="0.25">
      <c r="A34" s="16">
        <v>7</v>
      </c>
      <c r="B34" s="16" t="s">
        <v>169</v>
      </c>
      <c r="C34" s="16" t="s">
        <v>170</v>
      </c>
      <c r="D34" s="16" t="s">
        <v>181</v>
      </c>
      <c r="E34" s="17">
        <v>0.04</v>
      </c>
      <c r="F34" s="16" t="s">
        <v>172</v>
      </c>
      <c r="G34" s="16" t="s">
        <v>182</v>
      </c>
      <c r="H34" s="16" t="s">
        <v>183</v>
      </c>
      <c r="I34" s="16"/>
      <c r="J34" s="18" t="s">
        <v>175</v>
      </c>
      <c r="K34" s="18" t="s">
        <v>184</v>
      </c>
      <c r="L34" s="20">
        <v>1</v>
      </c>
      <c r="M34" s="21">
        <v>1</v>
      </c>
      <c r="N34" s="21">
        <v>1</v>
      </c>
      <c r="O34" s="21">
        <v>1</v>
      </c>
      <c r="P34" s="21">
        <v>1</v>
      </c>
      <c r="Q34" s="16" t="s">
        <v>85</v>
      </c>
      <c r="R34" s="16" t="s">
        <v>185</v>
      </c>
      <c r="S34" s="16" t="s">
        <v>186</v>
      </c>
      <c r="T34" s="16" t="s">
        <v>187</v>
      </c>
      <c r="U34" s="16" t="s">
        <v>188</v>
      </c>
      <c r="V34" s="46">
        <f>L34</f>
        <v>1</v>
      </c>
      <c r="W34" s="47">
        <v>1</v>
      </c>
      <c r="X34" s="47">
        <v>1</v>
      </c>
      <c r="Y34" s="37" t="s">
        <v>189</v>
      </c>
      <c r="Z34" s="37" t="s">
        <v>190</v>
      </c>
      <c r="AA34" s="46">
        <f t="shared" si="5"/>
        <v>1</v>
      </c>
      <c r="AB34" s="48">
        <v>0.76919999999999999</v>
      </c>
      <c r="AC34" s="48">
        <f t="shared" si="11"/>
        <v>0.76919999999999999</v>
      </c>
      <c r="AD34" s="37" t="s">
        <v>268</v>
      </c>
      <c r="AE34" s="37" t="s">
        <v>251</v>
      </c>
      <c r="AF34" s="31">
        <f t="shared" si="1"/>
        <v>1</v>
      </c>
      <c r="AG34" s="16"/>
      <c r="AH34" s="16"/>
      <c r="AI34" s="16"/>
      <c r="AJ34" s="16"/>
      <c r="AK34" s="31">
        <f t="shared" si="2"/>
        <v>1</v>
      </c>
      <c r="AL34" s="16"/>
      <c r="AM34" s="16"/>
      <c r="AN34" s="16"/>
      <c r="AO34" s="16"/>
      <c r="AP34" s="47">
        <f t="shared" si="8"/>
        <v>1</v>
      </c>
      <c r="AQ34" s="67">
        <f>(100%*25%)+(76.92%*25%)</f>
        <v>0.44230000000000003</v>
      </c>
      <c r="AR34" s="67">
        <f>IF(AQ34/AP34&gt;100%,100%,AQ34/AP34)</f>
        <v>0.44230000000000003</v>
      </c>
      <c r="AS34" s="37" t="s">
        <v>268</v>
      </c>
    </row>
    <row r="35" spans="1:45" ht="135" x14ac:dyDescent="0.25">
      <c r="A35" s="16">
        <v>7</v>
      </c>
      <c r="B35" s="16" t="s">
        <v>169</v>
      </c>
      <c r="C35" s="16" t="s">
        <v>191</v>
      </c>
      <c r="D35" s="16" t="s">
        <v>192</v>
      </c>
      <c r="E35" s="17">
        <v>0.04</v>
      </c>
      <c r="F35" s="16" t="s">
        <v>172</v>
      </c>
      <c r="G35" s="16" t="s">
        <v>193</v>
      </c>
      <c r="H35" s="16" t="s">
        <v>194</v>
      </c>
      <c r="I35" s="16"/>
      <c r="J35" s="18" t="s">
        <v>175</v>
      </c>
      <c r="K35" s="18" t="s">
        <v>195</v>
      </c>
      <c r="L35" s="20">
        <v>0</v>
      </c>
      <c r="M35" s="21">
        <v>1</v>
      </c>
      <c r="N35" s="21">
        <v>1</v>
      </c>
      <c r="O35" s="21">
        <v>1</v>
      </c>
      <c r="P35" s="21">
        <v>1</v>
      </c>
      <c r="Q35" s="16" t="s">
        <v>85</v>
      </c>
      <c r="R35" s="16" t="s">
        <v>196</v>
      </c>
      <c r="S35" s="16" t="s">
        <v>197</v>
      </c>
      <c r="T35" s="16" t="s">
        <v>198</v>
      </c>
      <c r="U35" s="16" t="s">
        <v>199</v>
      </c>
      <c r="V35" s="46" t="s">
        <v>63</v>
      </c>
      <c r="W35" s="46" t="s">
        <v>63</v>
      </c>
      <c r="X35" s="46" t="s">
        <v>63</v>
      </c>
      <c r="Y35" s="119" t="s">
        <v>64</v>
      </c>
      <c r="Z35" s="119" t="s">
        <v>63</v>
      </c>
      <c r="AA35" s="46">
        <f t="shared" si="5"/>
        <v>1</v>
      </c>
      <c r="AB35" s="48">
        <v>0.96519999999999995</v>
      </c>
      <c r="AC35" s="48">
        <f t="shared" si="11"/>
        <v>0.96519999999999995</v>
      </c>
      <c r="AD35" s="37" t="s">
        <v>253</v>
      </c>
      <c r="AE35" s="37" t="s">
        <v>254</v>
      </c>
      <c r="AF35" s="31">
        <f t="shared" si="1"/>
        <v>1</v>
      </c>
      <c r="AG35" s="16"/>
      <c r="AH35" s="16"/>
      <c r="AI35" s="16"/>
      <c r="AJ35" s="16"/>
      <c r="AK35" s="31">
        <f t="shared" si="2"/>
        <v>1</v>
      </c>
      <c r="AL35" s="16"/>
      <c r="AM35" s="16"/>
      <c r="AN35" s="16"/>
      <c r="AO35" s="16"/>
      <c r="AP35" s="47">
        <f t="shared" si="8"/>
        <v>1</v>
      </c>
      <c r="AQ35" s="48">
        <f>(96.52%*33.3%)</f>
        <v>0.32141159999999996</v>
      </c>
      <c r="AR35" s="67">
        <f>IF(AQ35/AP35&gt;100%,100%,AQ35/AP35)</f>
        <v>0.32141159999999996</v>
      </c>
      <c r="AS35" s="37" t="s">
        <v>253</v>
      </c>
    </row>
    <row r="36" spans="1:45" ht="105" x14ac:dyDescent="0.25">
      <c r="A36" s="16">
        <v>7</v>
      </c>
      <c r="B36" s="16" t="s">
        <v>169</v>
      </c>
      <c r="C36" s="16" t="s">
        <v>170</v>
      </c>
      <c r="D36" s="16" t="s">
        <v>200</v>
      </c>
      <c r="E36" s="17">
        <v>0.04</v>
      </c>
      <c r="F36" s="16" t="s">
        <v>172</v>
      </c>
      <c r="G36" s="16" t="s">
        <v>201</v>
      </c>
      <c r="H36" s="16" t="s">
        <v>202</v>
      </c>
      <c r="I36" s="16"/>
      <c r="J36" s="18" t="s">
        <v>175</v>
      </c>
      <c r="K36" s="18" t="s">
        <v>203</v>
      </c>
      <c r="L36" s="20">
        <v>0</v>
      </c>
      <c r="M36" s="21">
        <v>1</v>
      </c>
      <c r="N36" s="21">
        <v>1</v>
      </c>
      <c r="O36" s="21">
        <v>0</v>
      </c>
      <c r="P36" s="21">
        <v>1</v>
      </c>
      <c r="Q36" s="16" t="s">
        <v>85</v>
      </c>
      <c r="R36" s="16" t="s">
        <v>204</v>
      </c>
      <c r="S36" s="16" t="s">
        <v>205</v>
      </c>
      <c r="T36" s="16" t="s">
        <v>187</v>
      </c>
      <c r="U36" s="16" t="s">
        <v>205</v>
      </c>
      <c r="V36" s="46" t="s">
        <v>63</v>
      </c>
      <c r="W36" s="46" t="s">
        <v>63</v>
      </c>
      <c r="X36" s="46" t="s">
        <v>63</v>
      </c>
      <c r="Y36" s="119" t="s">
        <v>64</v>
      </c>
      <c r="Z36" s="119" t="s">
        <v>63</v>
      </c>
      <c r="AA36" s="46">
        <f t="shared" si="5"/>
        <v>1</v>
      </c>
      <c r="AB36" s="46">
        <f t="shared" ref="AB36" si="12">N36</f>
        <v>1</v>
      </c>
      <c r="AC36" s="48">
        <f t="shared" si="11"/>
        <v>1</v>
      </c>
      <c r="AD36" s="37" t="s">
        <v>256</v>
      </c>
      <c r="AE36" s="37" t="s">
        <v>255</v>
      </c>
      <c r="AF36" s="31">
        <f t="shared" si="1"/>
        <v>1</v>
      </c>
      <c r="AG36" s="16"/>
      <c r="AH36" s="16"/>
      <c r="AI36" s="16"/>
      <c r="AJ36" s="16"/>
      <c r="AK36" s="31">
        <f t="shared" si="2"/>
        <v>0</v>
      </c>
      <c r="AL36" s="16"/>
      <c r="AM36" s="16"/>
      <c r="AN36" s="16"/>
      <c r="AO36" s="16"/>
      <c r="AP36" s="47">
        <f t="shared" si="8"/>
        <v>1</v>
      </c>
      <c r="AQ36" s="47">
        <f>100%*50%</f>
        <v>0.5</v>
      </c>
      <c r="AR36" s="67">
        <f>IF(AQ36/AP36&gt;100%,100%,AQ36/AP36)</f>
        <v>0.5</v>
      </c>
      <c r="AS36" s="37" t="s">
        <v>256</v>
      </c>
    </row>
    <row r="37" spans="1:45" ht="120" x14ac:dyDescent="0.25">
      <c r="A37" s="16">
        <v>5</v>
      </c>
      <c r="B37" s="16" t="s">
        <v>206</v>
      </c>
      <c r="C37" s="16" t="s">
        <v>207</v>
      </c>
      <c r="D37" s="16" t="s">
        <v>208</v>
      </c>
      <c r="E37" s="17">
        <v>0.04</v>
      </c>
      <c r="F37" s="16" t="s">
        <v>172</v>
      </c>
      <c r="G37" s="16" t="s">
        <v>209</v>
      </c>
      <c r="H37" s="16" t="s">
        <v>210</v>
      </c>
      <c r="I37" s="16"/>
      <c r="J37" s="18" t="s">
        <v>211</v>
      </c>
      <c r="K37" s="18" t="s">
        <v>212</v>
      </c>
      <c r="L37" s="19">
        <v>0.33</v>
      </c>
      <c r="M37" s="19">
        <v>0.67</v>
      </c>
      <c r="N37" s="19">
        <v>1</v>
      </c>
      <c r="O37" s="19">
        <v>0</v>
      </c>
      <c r="P37" s="19">
        <v>1</v>
      </c>
      <c r="Q37" s="16" t="s">
        <v>85</v>
      </c>
      <c r="R37" s="16" t="s">
        <v>213</v>
      </c>
      <c r="S37" s="16" t="s">
        <v>214</v>
      </c>
      <c r="T37" s="16" t="s">
        <v>215</v>
      </c>
      <c r="U37" s="16" t="s">
        <v>214</v>
      </c>
      <c r="V37" s="46">
        <f>L37</f>
        <v>0.33</v>
      </c>
      <c r="W37" s="48">
        <v>0.88519999999999999</v>
      </c>
      <c r="X37" s="47">
        <v>1</v>
      </c>
      <c r="Y37" s="37" t="s">
        <v>216</v>
      </c>
      <c r="Z37" s="37" t="s">
        <v>217</v>
      </c>
      <c r="AA37" s="46">
        <f t="shared" si="5"/>
        <v>0.67</v>
      </c>
      <c r="AB37" s="48">
        <v>0.96699999999999997</v>
      </c>
      <c r="AC37" s="48">
        <f t="shared" si="11"/>
        <v>1</v>
      </c>
      <c r="AD37" s="37" t="s">
        <v>258</v>
      </c>
      <c r="AE37" s="37" t="s">
        <v>257</v>
      </c>
      <c r="AF37" s="31">
        <f t="shared" si="1"/>
        <v>1</v>
      </c>
      <c r="AG37" s="16"/>
      <c r="AH37" s="16"/>
      <c r="AI37" s="16"/>
      <c r="AJ37" s="16"/>
      <c r="AK37" s="31">
        <f t="shared" si="2"/>
        <v>0</v>
      </c>
      <c r="AL37" s="16"/>
      <c r="AM37" s="16"/>
      <c r="AN37" s="16"/>
      <c r="AO37" s="16"/>
      <c r="AP37" s="47">
        <f t="shared" si="8"/>
        <v>1</v>
      </c>
      <c r="AQ37" s="48">
        <v>0.96699999999999997</v>
      </c>
      <c r="AR37" s="67">
        <f>IF(AQ37/AP37&gt;100%,100%,AQ37/AP37)</f>
        <v>0.96699999999999997</v>
      </c>
      <c r="AS37" s="37" t="s">
        <v>258</v>
      </c>
    </row>
    <row r="38" spans="1:45" s="72" customFormat="1" ht="15.75" x14ac:dyDescent="0.25">
      <c r="A38" s="68"/>
      <c r="B38" s="68"/>
      <c r="C38" s="68"/>
      <c r="D38" s="69" t="s">
        <v>218</v>
      </c>
      <c r="E38" s="70">
        <f>SUM(E33:E37)</f>
        <v>0.2</v>
      </c>
      <c r="F38" s="69"/>
      <c r="G38" s="69"/>
      <c r="H38" s="69"/>
      <c r="I38" s="69"/>
      <c r="J38" s="69"/>
      <c r="K38" s="69"/>
      <c r="L38" s="71">
        <f>AVERAGE(L34:L37)</f>
        <v>0.33250000000000002</v>
      </c>
      <c r="M38" s="71">
        <f>AVERAGE(M34:M37)</f>
        <v>0.91749999999999998</v>
      </c>
      <c r="N38" s="71">
        <f>AVERAGE(N34:N37)</f>
        <v>1</v>
      </c>
      <c r="O38" s="71">
        <f>AVERAGE(O34:O37)</f>
        <v>0.5</v>
      </c>
      <c r="P38" s="71">
        <f>AVERAGE(P34:P37)</f>
        <v>1</v>
      </c>
      <c r="Q38" s="69"/>
      <c r="R38" s="68"/>
      <c r="S38" s="68"/>
      <c r="T38" s="68"/>
      <c r="U38" s="68"/>
      <c r="V38" s="98"/>
      <c r="W38" s="98"/>
      <c r="X38" s="98">
        <f>AVERAGE(X33:X37)*20%</f>
        <v>0.2</v>
      </c>
      <c r="Y38" s="109"/>
      <c r="Z38" s="110"/>
      <c r="AA38" s="98"/>
      <c r="AB38" s="98"/>
      <c r="AC38" s="99">
        <f>AVERAGE(AC33:AC37)*20%</f>
        <v>0.18937599999999999</v>
      </c>
      <c r="AD38" s="100"/>
      <c r="AE38" s="100"/>
      <c r="AF38" s="111"/>
      <c r="AG38" s="99"/>
      <c r="AH38" s="99" t="e">
        <f>AVERAGE(AH33:AH37)*20%</f>
        <v>#DIV/0!</v>
      </c>
      <c r="AI38" s="112"/>
      <c r="AJ38" s="112"/>
      <c r="AK38" s="111"/>
      <c r="AL38" s="99"/>
      <c r="AM38" s="99" t="e">
        <f>AVERAGE(AM33:AM37)*20%</f>
        <v>#DIV/0!</v>
      </c>
      <c r="AN38" s="112"/>
      <c r="AO38" s="112"/>
      <c r="AP38" s="99"/>
      <c r="AQ38" s="99"/>
      <c r="AR38" s="99">
        <f>AVERAGE(AR33:AR37)*20%</f>
        <v>0.110228464</v>
      </c>
      <c r="AS38" s="109"/>
    </row>
    <row r="39" spans="1:45" s="32" customFormat="1" ht="18.75" x14ac:dyDescent="0.3">
      <c r="A39" s="22"/>
      <c r="B39" s="22"/>
      <c r="C39" s="22"/>
      <c r="D39" s="23" t="s">
        <v>219</v>
      </c>
      <c r="E39" s="24">
        <f>E38+E32</f>
        <v>1.0000000000000009</v>
      </c>
      <c r="F39" s="22"/>
      <c r="G39" s="22"/>
      <c r="H39" s="22"/>
      <c r="I39" s="22"/>
      <c r="J39" s="22"/>
      <c r="K39" s="22"/>
      <c r="L39" s="25">
        <f>L38*$E$38</f>
        <v>6.6500000000000004E-2</v>
      </c>
      <c r="M39" s="25">
        <f>M38*$E$38</f>
        <v>0.1835</v>
      </c>
      <c r="N39" s="25">
        <f>N38*$E$38</f>
        <v>0.2</v>
      </c>
      <c r="O39" s="25">
        <f>O38*$E$38</f>
        <v>0.1</v>
      </c>
      <c r="P39" s="25">
        <f>P38*$E$38</f>
        <v>0.2</v>
      </c>
      <c r="Q39" s="22"/>
      <c r="R39" s="22"/>
      <c r="S39" s="22"/>
      <c r="T39" s="22"/>
      <c r="U39" s="22"/>
      <c r="V39" s="101"/>
      <c r="W39" s="101"/>
      <c r="X39" s="113">
        <f>X32+X38</f>
        <v>0.68399001291106565</v>
      </c>
      <c r="Y39" s="114"/>
      <c r="Z39" s="115"/>
      <c r="AA39" s="101"/>
      <c r="AB39" s="101"/>
      <c r="AC39" s="102">
        <f>AC32+AC38</f>
        <v>0.84610358331815705</v>
      </c>
      <c r="AD39" s="103"/>
      <c r="AE39" s="103"/>
      <c r="AF39" s="116"/>
      <c r="AG39" s="117"/>
      <c r="AH39" s="102" t="e">
        <f>AH32+AH38</f>
        <v>#DIV/0!</v>
      </c>
      <c r="AI39" s="118"/>
      <c r="AJ39" s="118"/>
      <c r="AK39" s="116"/>
      <c r="AL39" s="117"/>
      <c r="AM39" s="102" t="e">
        <f>AM32+AM38</f>
        <v>#DIV/0!</v>
      </c>
      <c r="AN39" s="118"/>
      <c r="AO39" s="118"/>
      <c r="AP39" s="117"/>
      <c r="AQ39" s="117"/>
      <c r="AR39" s="102">
        <f>AR32+AR38</f>
        <v>0.48797164862009779</v>
      </c>
      <c r="AS39" s="114"/>
    </row>
  </sheetData>
  <sheetProtection formatColumns="0" formatRows="0"/>
  <mergeCells count="25">
    <mergeCell ref="AP11:AS11"/>
    <mergeCell ref="AP12:AS12"/>
    <mergeCell ref="V11:Z11"/>
    <mergeCell ref="F4:K4"/>
    <mergeCell ref="H5:K5"/>
    <mergeCell ref="H6:K6"/>
    <mergeCell ref="H7:K7"/>
    <mergeCell ref="H8:K8"/>
    <mergeCell ref="Q11:U12"/>
    <mergeCell ref="V12:Z12"/>
    <mergeCell ref="AA12:AE12"/>
    <mergeCell ref="AF12:AJ12"/>
    <mergeCell ref="AK12:AO12"/>
    <mergeCell ref="AK11:AO11"/>
    <mergeCell ref="AF11:AJ11"/>
    <mergeCell ref="AA11:AE11"/>
    <mergeCell ref="A11:B12"/>
    <mergeCell ref="C11:C13"/>
    <mergeCell ref="D11:P12"/>
    <mergeCell ref="A1:K1"/>
    <mergeCell ref="L1:P1"/>
    <mergeCell ref="A2:P2"/>
    <mergeCell ref="A4:B8"/>
    <mergeCell ref="C4:D8"/>
    <mergeCell ref="H9:K9"/>
  </mergeCells>
  <dataValidations count="4">
    <dataValidation allowBlank="1" showInputMessage="1" showErrorMessage="1" error="Escriba un texto " promptTitle="Cualquier contenido" sqref="F14: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15 Y14:Y31 AS24:AS31"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 sqref="Y34 Y37" xr:uid="{00000000-0002-0000-0000-000002000000}">
      <formula1>2500</formula1>
    </dataValidation>
    <dataValidation type="textLength" operator="lessThanOrEqual" allowBlank="1" showInputMessage="1" showErrorMessage="1" error="Por favor ingresar menos de 2.500 caracteres, incluyendo espacios." sqref="W37:X37 Z16:Z31 W16:X31 Z34 W34:X34 Z37 AS17:AS20 AD17:AE27 AD33:AE37 AS23 AS33:AS37" xr:uid="{00000000-0002-0000-0000-000003000000}">
      <formula1>2500</formula1>
    </dataValidation>
  </dataValidations>
  <hyperlinks>
    <hyperlink ref="AE35" r:id="rId1" xr:uid="{0D4FDEED-E908-4961-9367-E0AEC5D30D25}"/>
  </hyperlinks>
  <pageMargins left="0.7" right="0.7" top="0.75" bottom="0.75" header="0.3" footer="0.3"/>
  <pageSetup paperSize="9" orientation="portrait" r:id="rId2"/>
  <ignoredErrors>
    <ignoredError sqref="M38:P38"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Usaquén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2021-08-24T21:38:35Z</dcterms:modified>
  <cp:category/>
  <cp:contentStatus/>
</cp:coreProperties>
</file>