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5/9. Septiembre/Caso HOLA 189289/"/>
    </mc:Choice>
  </mc:AlternateContent>
  <xr:revisionPtr revIDLastSave="3" documentId="8_{DB41B8E9-96E3-4077-AEC5-BAD08C66B480}" xr6:coauthVersionLast="47" xr6:coauthVersionMax="47" xr10:uidLastSave="{78606D21-F3E0-41A2-A431-9E2E2058F6E8}"/>
  <bookViews>
    <workbookView xWindow="-120" yWindow="-120" windowWidth="29040" windowHeight="15720" tabRatio="882" activeTab="2" xr2:uid="{00000000-000D-0000-FFFF-FFFF00000000}"/>
  </bookViews>
  <sheets>
    <sheet name="Instructivo" sheetId="20" r:id="rId1"/>
    <sheet name="Contexto proceso" sheetId="21" r:id="rId2"/>
    <sheet name="Mapa final" sheetId="1" r:id="rId3"/>
    <sheet name="Impacto-clasificacion" sheetId="22" state="hidden" r:id="rId4"/>
    <sheet name="Matriz Calor Inherente" sheetId="18" r:id="rId5"/>
    <sheet name="Matriz Calor Residual" sheetId="19" r:id="rId6"/>
    <sheet name="Tabla probabilidad" sheetId="12" r:id="rId7"/>
    <sheet name="Tabla Impacto" sheetId="13" r:id="rId8"/>
    <sheet name="Criterios riesgos amb." sheetId="23" r:id="rId9"/>
    <sheet name="Tabla Valoración controles" sheetId="15" r:id="rId10"/>
    <sheet name="Opciones Tratamiento" sheetId="16" state="hidden" r:id="rId11"/>
    <sheet name="Hoja1" sheetId="11" state="hidden" r:id="rId12"/>
  </sheets>
  <externalReferences>
    <externalReference r:id="rId13"/>
    <externalReference r:id="rId14"/>
    <externalReference r:id="rId15"/>
    <externalReference r:id="rId16"/>
    <externalReference r:id="rId17"/>
  </externalReferences>
  <definedNames>
    <definedName name="_1_SE">#REF!</definedName>
    <definedName name="A">#REF!</definedName>
    <definedName name="AA">#REF!</definedName>
    <definedName name="aaaa">#REF!</definedName>
    <definedName name="accion">#REF!</definedName>
    <definedName name="AGENTE">#REF!</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ona">#REF!</definedName>
  </definedNames>
  <calcPr calcId="191028"/>
  <pivotCaches>
    <pivotCache cacheId="2"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23" l="1"/>
  <c r="T25" i="1"/>
  <c r="Q25" i="1"/>
  <c r="H25" i="1"/>
  <c r="K34" i="1"/>
  <c r="K31" i="1"/>
  <c r="K41" i="1"/>
  <c r="K27" i="1"/>
  <c r="K32" i="1"/>
  <c r="K35" i="1"/>
  <c r="K37" i="1"/>
  <c r="K38" i="1"/>
  <c r="K39" i="1"/>
  <c r="K40" i="1"/>
  <c r="K33" i="1"/>
  <c r="F221" i="13"/>
  <c r="F211" i="13"/>
  <c r="F212" i="13"/>
  <c r="F213" i="13"/>
  <c r="F214" i="13"/>
  <c r="F215" i="13"/>
  <c r="F216" i="13"/>
  <c r="F217" i="13"/>
  <c r="F218" i="13"/>
  <c r="F219" i="13"/>
  <c r="F220" i="13"/>
  <c r="F210" i="13"/>
  <c r="B221" i="13" a="1"/>
  <c r="B221" i="13"/>
  <c r="Q29"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41" i="1"/>
  <c r="Q41" i="1"/>
  <c r="T40" i="1"/>
  <c r="Q40" i="1"/>
  <c r="T39" i="1"/>
  <c r="Q39" i="1"/>
  <c r="T38" i="1"/>
  <c r="Q38" i="1"/>
  <c r="T37" i="1"/>
  <c r="Q37" i="1"/>
  <c r="T36" i="1"/>
  <c r="Q36" i="1"/>
  <c r="AB36" i="1" s="1"/>
  <c r="AA36" i="1" s="1"/>
  <c r="H36" i="1"/>
  <c r="I36" i="1" s="1"/>
  <c r="T35" i="1"/>
  <c r="Q35" i="1"/>
  <c r="T34" i="1"/>
  <c r="Q34" i="1"/>
  <c r="T33" i="1"/>
  <c r="Q33" i="1"/>
  <c r="T32" i="1"/>
  <c r="Q32" i="1"/>
  <c r="T31" i="1"/>
  <c r="Q31" i="1"/>
  <c r="T30" i="1"/>
  <c r="Q30" i="1"/>
  <c r="X30" i="1" s="1"/>
  <c r="Z30" i="1" s="1"/>
  <c r="H30" i="1"/>
  <c r="I30" i="1" s="1"/>
  <c r="T29" i="1"/>
  <c r="H29" i="1"/>
  <c r="I29" i="1" s="1"/>
  <c r="T28" i="1"/>
  <c r="Q28" i="1"/>
  <c r="H28" i="1"/>
  <c r="I28" i="1" s="1"/>
  <c r="H26" i="1"/>
  <c r="I26" i="1" s="1"/>
  <c r="T27" i="1"/>
  <c r="Q27" i="1"/>
  <c r="T26" i="1"/>
  <c r="Q2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K25" i="1"/>
  <c r="L25" i="1" s="1"/>
  <c r="M25" i="1" s="1"/>
  <c r="K28" i="1"/>
  <c r="L28" i="1" s="1"/>
  <c r="K29" i="1"/>
  <c r="L29" i="1" s="1"/>
  <c r="X40" i="18"/>
  <c r="K26" i="1"/>
  <c r="L26" i="1" s="1"/>
  <c r="K36" i="1"/>
  <c r="L36" i="1" s="1"/>
  <c r="K30" i="1"/>
  <c r="L30" i="1" s="1"/>
  <c r="AB18" i="18"/>
  <c r="V34" i="18"/>
  <c r="AB26" i="18"/>
  <c r="V10" i="18"/>
  <c r="AB10" i="18"/>
  <c r="J26" i="18"/>
  <c r="X29" i="1" l="1"/>
  <c r="L30" i="18"/>
  <c r="AB30" i="1"/>
  <c r="AA30" i="1" s="1"/>
  <c r="J14" i="19" s="1"/>
  <c r="AH28" i="18"/>
  <c r="P12" i="18"/>
  <c r="V44" i="18"/>
  <c r="T18" i="18"/>
  <c r="X41" i="1"/>
  <c r="Z41" i="1" s="1"/>
  <c r="AF26" i="18"/>
  <c r="R8" i="18"/>
  <c r="AF16" i="18"/>
  <c r="P36" i="18"/>
  <c r="V18" i="18"/>
  <c r="AB34" i="18"/>
  <c r="P10" i="18"/>
  <c r="P34" i="18"/>
  <c r="J20" i="18"/>
  <c r="T40" i="18"/>
  <c r="AB20" i="18"/>
  <c r="P28" i="18"/>
  <c r="P26" i="18"/>
  <c r="J10" i="18"/>
  <c r="AH42" i="18"/>
  <c r="AF32" i="18"/>
  <c r="V28" i="18"/>
  <c r="P20" i="18"/>
  <c r="J44" i="18"/>
  <c r="P18" i="18"/>
  <c r="J34" i="18"/>
  <c r="V26" i="18"/>
  <c r="V42" i="18"/>
  <c r="AH34" i="18"/>
  <c r="J42" i="18"/>
  <c r="V20" i="18"/>
  <c r="AH36" i="18"/>
  <c r="P44" i="18"/>
  <c r="AH12" i="18"/>
  <c r="AH10" i="18"/>
  <c r="J18" i="18"/>
  <c r="AH18" i="18"/>
  <c r="AH26" i="18"/>
  <c r="P42" i="18"/>
  <c r="AB42" i="18"/>
  <c r="AD34" i="18"/>
  <c r="X42" i="18"/>
  <c r="X34" i="18"/>
  <c r="L18" i="18"/>
  <c r="X26" i="18"/>
  <c r="AD10" i="18"/>
  <c r="AD18" i="18"/>
  <c r="N29" i="1"/>
  <c r="L26" i="18"/>
  <c r="R10" i="18"/>
  <c r="R18" i="18"/>
  <c r="R26" i="18"/>
  <c r="L10" i="18"/>
  <c r="AD42" i="18"/>
  <c r="L34" i="18"/>
  <c r="AL42" i="18"/>
  <c r="AM8" i="19"/>
  <c r="N10" i="18"/>
  <c r="AA48" i="19"/>
  <c r="Z42" i="18"/>
  <c r="AF10" i="18"/>
  <c r="Z48" i="19"/>
  <c r="AD6" i="18"/>
  <c r="L38" i="18"/>
  <c r="R30" i="18"/>
  <c r="X30" i="18"/>
  <c r="X6" i="18"/>
  <c r="N26" i="1"/>
  <c r="AB25" i="1"/>
  <c r="AA25" i="1" s="1"/>
  <c r="X26" i="1"/>
  <c r="Y26" i="1" s="1"/>
  <c r="P24" i="18"/>
  <c r="AB32" i="18"/>
  <c r="P16" i="18"/>
  <c r="AB16" i="18"/>
  <c r="AH40" i="18"/>
  <c r="J24" i="18"/>
  <c r="AB40" i="18"/>
  <c r="AH24" i="18"/>
  <c r="V32" i="18"/>
  <c r="P8" i="18"/>
  <c r="Z29" i="1"/>
  <c r="Y29" i="1"/>
  <c r="N24" i="18"/>
  <c r="J12" i="18"/>
  <c r="V36" i="18"/>
  <c r="AH44" i="18"/>
  <c r="J28" i="18"/>
  <c r="J36" i="18"/>
  <c r="AH20" i="18"/>
  <c r="AB28" i="18"/>
  <c r="J32" i="18"/>
  <c r="J8" i="18"/>
  <c r="V8" i="18"/>
  <c r="P40" i="18"/>
  <c r="V24" i="18"/>
  <c r="V16" i="18"/>
  <c r="J40" i="18"/>
  <c r="R42" i="18"/>
  <c r="R34" i="18"/>
  <c r="M29" i="1"/>
  <c r="AB29" i="1" s="1"/>
  <c r="AA29" i="1" s="1"/>
  <c r="AJ10" i="18"/>
  <c r="X18" i="18"/>
  <c r="AD26" i="18"/>
  <c r="X32" i="18"/>
  <c r="R24" i="18"/>
  <c r="AM28" i="19"/>
  <c r="AG8" i="19"/>
  <c r="AG28" i="19"/>
  <c r="AA18" i="19"/>
  <c r="AB41" i="1"/>
  <c r="AA41" i="1" s="1"/>
  <c r="T24" i="18"/>
  <c r="P32" i="18"/>
  <c r="AB24" i="18"/>
  <c r="X43" i="19"/>
  <c r="X38" i="1"/>
  <c r="Z38" i="1" s="1"/>
  <c r="L40" i="18"/>
  <c r="AL16" i="18"/>
  <c r="AL8" i="18"/>
  <c r="M36" i="1"/>
  <c r="AB36" i="18"/>
  <c r="V12" i="18"/>
  <c r="AB44" i="18"/>
  <c r="AB12" i="18"/>
  <c r="N36" i="1"/>
  <c r="AB8" i="18"/>
  <c r="AH8" i="18"/>
  <c r="AH16" i="18"/>
  <c r="V40" i="18"/>
  <c r="J16" i="18"/>
  <c r="AH32" i="18"/>
  <c r="AJ18" i="18"/>
  <c r="AJ42" i="18"/>
  <c r="AJ26" i="18"/>
  <c r="AJ34" i="18"/>
  <c r="X10" i="18"/>
  <c r="L42" i="18"/>
  <c r="X24" i="18"/>
  <c r="O18" i="19"/>
  <c r="U28" i="19"/>
  <c r="AG38" i="19"/>
  <c r="AG48" i="19"/>
  <c r="Y30" i="1"/>
  <c r="T6" i="19"/>
  <c r="AB30" i="18"/>
  <c r="V14" i="18"/>
  <c r="P38" i="18"/>
  <c r="AH14" i="18"/>
  <c r="AB38" i="18"/>
  <c r="P22" i="18"/>
  <c r="AH6" i="18"/>
  <c r="AH22" i="18"/>
  <c r="AH30" i="18"/>
  <c r="V30" i="18"/>
  <c r="V22" i="18"/>
  <c r="J6" i="18"/>
  <c r="J14" i="18"/>
  <c r="AL14" i="18"/>
  <c r="N38" i="18"/>
  <c r="Z30" i="18"/>
  <c r="N22" i="18"/>
  <c r="AL30" i="18"/>
  <c r="AL6" i="18"/>
  <c r="AF6" i="18"/>
  <c r="AF30" i="18"/>
  <c r="Z6" i="18"/>
  <c r="N30" i="18"/>
  <c r="N14" i="18"/>
  <c r="N6" i="18"/>
  <c r="AF14" i="18"/>
  <c r="Z14" i="18"/>
  <c r="X31" i="1"/>
  <c r="AB31" i="1"/>
  <c r="AA31" i="1" s="1"/>
  <c r="X32" i="1"/>
  <c r="AB32" i="1"/>
  <c r="AA32" i="1" s="1"/>
  <c r="X33" i="1"/>
  <c r="AB33" i="1"/>
  <c r="AA33" i="1" s="1"/>
  <c r="AB34" i="1"/>
  <c r="AA34" i="1" s="1"/>
  <c r="X34" i="1"/>
  <c r="P30" i="18"/>
  <c r="V6" i="18"/>
  <c r="J30" i="18"/>
  <c r="AB22" i="18"/>
  <c r="V38" i="18"/>
  <c r="P14" i="18"/>
  <c r="N48" i="19"/>
  <c r="AL18" i="19"/>
  <c r="AF8" i="19"/>
  <c r="T28" i="19"/>
  <c r="N28" i="19"/>
  <c r="X35" i="1"/>
  <c r="AB35" i="1"/>
  <c r="AA35" i="1" s="1"/>
  <c r="N16" i="18"/>
  <c r="P6" i="18"/>
  <c r="J22" i="18"/>
  <c r="J38" i="18"/>
  <c r="AB6" i="18"/>
  <c r="AB14" i="18"/>
  <c r="AH38" i="18"/>
  <c r="M30" i="1"/>
  <c r="N42" i="18"/>
  <c r="T18" i="19"/>
  <c r="L13" i="19"/>
  <c r="U48" i="19"/>
  <c r="AM18" i="19"/>
  <c r="U18" i="19"/>
  <c r="AA38" i="19"/>
  <c r="U8" i="19"/>
  <c r="O28" i="19"/>
  <c r="W26" i="19"/>
  <c r="AJ37" i="19"/>
  <c r="AB40" i="1"/>
  <c r="AA40" i="1" s="1"/>
  <c r="X39" i="1"/>
  <c r="AB39" i="1"/>
  <c r="AA39" i="1" s="1"/>
  <c r="AB38" i="1"/>
  <c r="AA38" i="1" s="1"/>
  <c r="AB37" i="1"/>
  <c r="AA37" i="1" s="1"/>
  <c r="X40" i="1"/>
  <c r="N32" i="18"/>
  <c r="N30" i="1"/>
  <c r="AL34" i="18"/>
  <c r="AL18" i="18"/>
  <c r="T26" i="18"/>
  <c r="AL26" i="18"/>
  <c r="AF42" i="18"/>
  <c r="AM19" i="19"/>
  <c r="O29" i="19"/>
  <c r="AA19" i="19"/>
  <c r="AM49" i="19"/>
  <c r="O9" i="19"/>
  <c r="U9" i="19"/>
  <c r="O39" i="19"/>
  <c r="U29" i="19"/>
  <c r="U39" i="19"/>
  <c r="O19" i="19"/>
  <c r="AM9" i="19"/>
  <c r="U19" i="19"/>
  <c r="AG39" i="19"/>
  <c r="O49" i="19"/>
  <c r="AG9" i="19"/>
  <c r="AM39" i="19"/>
  <c r="AA49" i="19"/>
  <c r="AA9" i="19"/>
  <c r="AG29" i="19"/>
  <c r="AG49" i="19"/>
  <c r="U49" i="19"/>
  <c r="AA39" i="19"/>
  <c r="AM29" i="19"/>
  <c r="AG19" i="19"/>
  <c r="AA29" i="19"/>
  <c r="Z24" i="18"/>
  <c r="AF40" i="18"/>
  <c r="N8" i="18"/>
  <c r="Z16" i="18"/>
  <c r="Z40" i="18"/>
  <c r="AF24" i="18"/>
  <c r="N40" i="18"/>
  <c r="T16" i="18"/>
  <c r="AL40" i="18"/>
  <c r="Z32" i="18"/>
  <c r="T8" i="18"/>
  <c r="T42" i="18"/>
  <c r="T10" i="18"/>
  <c r="Z26" i="18"/>
  <c r="N26" i="18"/>
  <c r="N18" i="18"/>
  <c r="AL10" i="18"/>
  <c r="AF34" i="18"/>
  <c r="AD32" i="18"/>
  <c r="AJ30" i="18"/>
  <c r="X22" i="18"/>
  <c r="AD22" i="18"/>
  <c r="R38" i="18"/>
  <c r="AD30" i="18"/>
  <c r="L14" i="18"/>
  <c r="AD14" i="18"/>
  <c r="R22" i="18"/>
  <c r="X38" i="18"/>
  <c r="M26" i="1"/>
  <c r="AB26" i="1" s="1"/>
  <c r="AJ14" i="18"/>
  <c r="AJ38" i="18"/>
  <c r="L22" i="18"/>
  <c r="R6" i="18"/>
  <c r="L6" i="18"/>
  <c r="AD38" i="18"/>
  <c r="X14" i="18"/>
  <c r="R14" i="18"/>
  <c r="AJ22" i="18"/>
  <c r="AJ6" i="18"/>
  <c r="AM47" i="19"/>
  <c r="AA7" i="19"/>
  <c r="AM17" i="19"/>
  <c r="AG7" i="19"/>
  <c r="AA37" i="19"/>
  <c r="U47" i="19"/>
  <c r="AG37" i="19"/>
  <c r="U27" i="19"/>
  <c r="AA47" i="19"/>
  <c r="AM37" i="19"/>
  <c r="AA27" i="19"/>
  <c r="AG17" i="19"/>
  <c r="AG47" i="19"/>
  <c r="O37" i="19"/>
  <c r="O27" i="19"/>
  <c r="AG27" i="19"/>
  <c r="AA17" i="19"/>
  <c r="AM27" i="19"/>
  <c r="O47" i="19"/>
  <c r="U7" i="19"/>
  <c r="O17" i="19"/>
  <c r="U37" i="19"/>
  <c r="AM7" i="19"/>
  <c r="O7" i="19"/>
  <c r="U17" i="19"/>
  <c r="AL32" i="18"/>
  <c r="T32" i="18"/>
  <c r="Z8" i="18"/>
  <c r="AL24" i="18"/>
  <c r="AF8" i="18"/>
  <c r="N34" i="18"/>
  <c r="Z34" i="18"/>
  <c r="AF18" i="18"/>
  <c r="T34" i="18"/>
  <c r="Z10" i="18"/>
  <c r="Z18" i="18"/>
  <c r="L8" i="18"/>
  <c r="AD24" i="18"/>
  <c r="AJ8" i="18"/>
  <c r="X16" i="18"/>
  <c r="AJ40" i="18"/>
  <c r="AD16" i="18"/>
  <c r="R32" i="18"/>
  <c r="AJ32" i="18"/>
  <c r="L32" i="18"/>
  <c r="L24" i="18"/>
  <c r="R16" i="18"/>
  <c r="L16" i="18"/>
  <c r="AJ16" i="18"/>
  <c r="AD8" i="18"/>
  <c r="X8" i="18"/>
  <c r="R40" i="18"/>
  <c r="AJ24" i="18"/>
  <c r="AD40" i="18"/>
  <c r="T14" i="18"/>
  <c r="T38" i="18"/>
  <c r="N28" i="1"/>
  <c r="AF38" i="18"/>
  <c r="AL22" i="18"/>
  <c r="Z22" i="18"/>
  <c r="AL38" i="18"/>
  <c r="T22" i="18"/>
  <c r="AF22" i="18"/>
  <c r="M28" i="1"/>
  <c r="AB28" i="1" s="1"/>
  <c r="AA28" i="1" s="1"/>
  <c r="T6" i="18"/>
  <c r="T30" i="18"/>
  <c r="Z38" i="18"/>
  <c r="AM40" i="19"/>
  <c r="AM30" i="19"/>
  <c r="U30" i="19"/>
  <c r="U20" i="19"/>
  <c r="U50" i="19"/>
  <c r="AG20" i="19"/>
  <c r="O10" i="19"/>
  <c r="O30" i="19"/>
  <c r="AM10" i="19"/>
  <c r="AA10" i="19"/>
  <c r="AA30" i="19"/>
  <c r="AA20" i="19"/>
  <c r="AM50" i="19"/>
  <c r="AM20" i="19"/>
  <c r="U40" i="19"/>
  <c r="AG40" i="19"/>
  <c r="AG10" i="19"/>
  <c r="U10" i="19"/>
  <c r="O20" i="19"/>
  <c r="AA50" i="19"/>
  <c r="O50" i="19"/>
  <c r="O40" i="19"/>
  <c r="AG50" i="19"/>
  <c r="AA40" i="19"/>
  <c r="AG30" i="19"/>
  <c r="K40" i="19"/>
  <c r="AB9" i="19"/>
  <c r="J19" i="19"/>
  <c r="P49" i="19"/>
  <c r="AH19" i="19"/>
  <c r="AB39" i="19"/>
  <c r="V39" i="19"/>
  <c r="V29" i="19"/>
  <c r="P19" i="19"/>
  <c r="AH29" i="19"/>
  <c r="AH49" i="19"/>
  <c r="V9" i="19"/>
  <c r="AB49" i="19"/>
  <c r="V49" i="19"/>
  <c r="AB19" i="19"/>
  <c r="P39" i="19"/>
  <c r="J29" i="19"/>
  <c r="AB29" i="19"/>
  <c r="AH39" i="19"/>
  <c r="N25" i="1"/>
  <c r="AG36" i="19"/>
  <c r="X28" i="1"/>
  <c r="Q36" i="19"/>
  <c r="J39" i="19"/>
  <c r="P9" i="19"/>
  <c r="AH9" i="19"/>
  <c r="P29" i="19"/>
  <c r="J49" i="19"/>
  <c r="V19" i="19"/>
  <c r="J9" i="19"/>
  <c r="I25" i="1"/>
  <c r="X25" i="1" s="1"/>
  <c r="Y25" i="1" s="1"/>
  <c r="X36" i="1"/>
  <c r="X37" i="1"/>
  <c r="AF6" i="19"/>
  <c r="AL36" i="19"/>
  <c r="Z46" i="19"/>
  <c r="AF36" i="19"/>
  <c r="Z36" i="19"/>
  <c r="AF16" i="19"/>
  <c r="AL16" i="19"/>
  <c r="N46" i="19"/>
  <c r="AF26" i="19"/>
  <c r="AF46" i="19"/>
  <c r="N26" i="19"/>
  <c r="N36" i="19"/>
  <c r="N6" i="19"/>
  <c r="T16" i="19"/>
  <c r="Z26" i="19"/>
  <c r="Z6" i="19"/>
  <c r="T46" i="19"/>
  <c r="Z16" i="19"/>
  <c r="AL46" i="19"/>
  <c r="N16" i="19"/>
  <c r="T26" i="19"/>
  <c r="T36" i="19"/>
  <c r="AL6" i="19"/>
  <c r="AL26" i="19"/>
  <c r="K6" i="19"/>
  <c r="AB34" i="19" l="1"/>
  <c r="Y41" i="1"/>
  <c r="AM55" i="19" s="1"/>
  <c r="AB14" i="19"/>
  <c r="V34" i="19"/>
  <c r="V44" i="19"/>
  <c r="AB24" i="19"/>
  <c r="X13" i="19"/>
  <c r="J13" i="19"/>
  <c r="AC29" i="1"/>
  <c r="AH13" i="19"/>
  <c r="M13" i="19"/>
  <c r="AH53" i="19"/>
  <c r="Y38" i="1"/>
  <c r="AC38" i="1" s="1"/>
  <c r="AB33" i="19"/>
  <c r="V53" i="19"/>
  <c r="V23" i="19"/>
  <c r="AB53" i="19"/>
  <c r="J23" i="19"/>
  <c r="AH43" i="19"/>
  <c r="AB44" i="19"/>
  <c r="P44" i="19"/>
  <c r="AH44" i="19"/>
  <c r="AH23" i="19"/>
  <c r="J24" i="19"/>
  <c r="AH34" i="19"/>
  <c r="J53" i="19"/>
  <c r="J43" i="19"/>
  <c r="AB13" i="19"/>
  <c r="P13" i="19"/>
  <c r="V13" i="19"/>
  <c r="V54" i="19"/>
  <c r="J34" i="19"/>
  <c r="AH54" i="19"/>
  <c r="P43" i="19"/>
  <c r="AB23" i="19"/>
  <c r="AI20" i="19"/>
  <c r="V14" i="19"/>
  <c r="P33" i="19"/>
  <c r="P53" i="19"/>
  <c r="AH33" i="19"/>
  <c r="AB43" i="19"/>
  <c r="P24" i="19"/>
  <c r="AC30" i="1"/>
  <c r="V24" i="19"/>
  <c r="AH14" i="19"/>
  <c r="P23" i="19"/>
  <c r="AB54" i="19"/>
  <c r="P14" i="19"/>
  <c r="AA26" i="1"/>
  <c r="J37" i="19" s="1"/>
  <c r="AB27" i="1"/>
  <c r="AA27" i="1" s="1"/>
  <c r="AL48" i="19"/>
  <c r="T48" i="19"/>
  <c r="AF48" i="19"/>
  <c r="N8" i="19"/>
  <c r="N38" i="19"/>
  <c r="AF18" i="19"/>
  <c r="Z18" i="19"/>
  <c r="AM38" i="19"/>
  <c r="U38" i="19"/>
  <c r="O48" i="19"/>
  <c r="AG18" i="19"/>
  <c r="AM48" i="19"/>
  <c r="AA28" i="19"/>
  <c r="O38" i="19"/>
  <c r="O8" i="19"/>
  <c r="AA8" i="19"/>
  <c r="AI10" i="19"/>
  <c r="Z38" i="19"/>
  <c r="AF38" i="19"/>
  <c r="AL38" i="19"/>
  <c r="Z8" i="19"/>
  <c r="N18" i="19"/>
  <c r="AL8" i="19"/>
  <c r="K50" i="19"/>
  <c r="AF28" i="19"/>
  <c r="AL28" i="19"/>
  <c r="T38" i="19"/>
  <c r="Z28" i="19"/>
  <c r="T8" i="19"/>
  <c r="R47" i="19"/>
  <c r="R37" i="19"/>
  <c r="L7" i="19"/>
  <c r="AD47" i="19"/>
  <c r="R17" i="19"/>
  <c r="V46" i="19"/>
  <c r="P26" i="19"/>
  <c r="AB16" i="19"/>
  <c r="V6" i="19"/>
  <c r="P36" i="19"/>
  <c r="J6" i="19"/>
  <c r="AC25" i="1"/>
  <c r="P6" i="19"/>
  <c r="V26" i="19"/>
  <c r="P46" i="19"/>
  <c r="J16" i="19"/>
  <c r="J46" i="19"/>
  <c r="AB36" i="19"/>
  <c r="AH46" i="19"/>
  <c r="AH26" i="19"/>
  <c r="AB6" i="19"/>
  <c r="AB46" i="19"/>
  <c r="V36" i="19"/>
  <c r="P16" i="19"/>
  <c r="Z25" i="1"/>
  <c r="V16" i="19"/>
  <c r="AH16" i="19"/>
  <c r="AH6" i="19"/>
  <c r="AH36" i="19"/>
  <c r="J26" i="19"/>
  <c r="AB26" i="19"/>
  <c r="J36" i="19"/>
  <c r="Z26" i="1"/>
  <c r="X27" i="1" s="1"/>
  <c r="Y27" i="1" s="1"/>
  <c r="R7" i="19"/>
  <c r="W20" i="19"/>
  <c r="AD43" i="19"/>
  <c r="X33" i="19"/>
  <c r="AD53" i="19"/>
  <c r="L33" i="19"/>
  <c r="L53" i="19"/>
  <c r="L23" i="19"/>
  <c r="AD23" i="19"/>
  <c r="AD33" i="19"/>
  <c r="R33" i="19"/>
  <c r="AJ53" i="19"/>
  <c r="AJ23" i="19"/>
  <c r="L43" i="19"/>
  <c r="AJ13" i="19"/>
  <c r="AJ43" i="19"/>
  <c r="R23" i="19"/>
  <c r="X53" i="19"/>
  <c r="AJ33" i="19"/>
  <c r="AD13" i="19"/>
  <c r="Q10" i="19"/>
  <c r="N37" i="19"/>
  <c r="Q30" i="19"/>
  <c r="AI30" i="19"/>
  <c r="R13" i="19"/>
  <c r="P54" i="19"/>
  <c r="J44" i="19"/>
  <c r="J54" i="19"/>
  <c r="P34" i="19"/>
  <c r="AH24" i="19"/>
  <c r="W30" i="19"/>
  <c r="AC10" i="19"/>
  <c r="K10" i="19"/>
  <c r="X23" i="19"/>
  <c r="R53" i="19"/>
  <c r="R43" i="19"/>
  <c r="V33" i="19"/>
  <c r="V43" i="19"/>
  <c r="J33" i="19"/>
  <c r="AI46" i="19"/>
  <c r="U46" i="19"/>
  <c r="AI26" i="19"/>
  <c r="U16" i="19"/>
  <c r="AA36" i="19"/>
  <c r="W46" i="19"/>
  <c r="AM36" i="19"/>
  <c r="AG6" i="19"/>
  <c r="AI40" i="19"/>
  <c r="AC40" i="19"/>
  <c r="Q40" i="19"/>
  <c r="K20" i="19"/>
  <c r="AC50" i="19"/>
  <c r="AA35" i="19"/>
  <c r="U35" i="19"/>
  <c r="U15" i="19"/>
  <c r="AG35" i="19"/>
  <c r="AA45" i="19"/>
  <c r="AC41" i="1"/>
  <c r="O25" i="19"/>
  <c r="AM15" i="19"/>
  <c r="AG15" i="19"/>
  <c r="U55" i="19"/>
  <c r="U25" i="19"/>
  <c r="U45" i="19"/>
  <c r="O15" i="19"/>
  <c r="AG55" i="19"/>
  <c r="Y35" i="1"/>
  <c r="AG24" i="19" s="1"/>
  <c r="Z35" i="1"/>
  <c r="Z31" i="1"/>
  <c r="Y31" i="1"/>
  <c r="K30" i="19"/>
  <c r="AC30" i="19"/>
  <c r="Q50" i="19"/>
  <c r="Y40" i="1"/>
  <c r="Z40" i="1"/>
  <c r="AI50" i="19"/>
  <c r="W10" i="19"/>
  <c r="W40" i="19"/>
  <c r="W50" i="19"/>
  <c r="AC20" i="19"/>
  <c r="Q20" i="19"/>
  <c r="L27" i="19"/>
  <c r="X7" i="19"/>
  <c r="X27" i="19"/>
  <c r="AD7" i="19"/>
  <c r="AJ27" i="19"/>
  <c r="AD17" i="19"/>
  <c r="X47" i="19"/>
  <c r="X17" i="19"/>
  <c r="AJ7" i="19"/>
  <c r="R27" i="19"/>
  <c r="L17" i="19"/>
  <c r="AD37" i="19"/>
  <c r="AD27" i="19"/>
  <c r="AJ47" i="19"/>
  <c r="X37" i="19"/>
  <c r="L37" i="19"/>
  <c r="AJ17" i="19"/>
  <c r="L47" i="19"/>
  <c r="AA31" i="19"/>
  <c r="AM11" i="19"/>
  <c r="AM51" i="19"/>
  <c r="U41" i="19"/>
  <c r="AA21" i="19"/>
  <c r="AA11" i="19"/>
  <c r="O21" i="19"/>
  <c r="AA41" i="19"/>
  <c r="O41" i="19"/>
  <c r="AG11" i="19"/>
  <c r="U31" i="19"/>
  <c r="O51" i="19"/>
  <c r="U21" i="19"/>
  <c r="U11" i="19"/>
  <c r="AM41" i="19"/>
  <c r="AG21" i="19"/>
  <c r="AG41" i="19"/>
  <c r="AA51" i="19"/>
  <c r="O11" i="19"/>
  <c r="AM21" i="19"/>
  <c r="U51" i="19"/>
  <c r="AG51" i="19"/>
  <c r="AM31" i="19"/>
  <c r="AG31" i="19"/>
  <c r="O31" i="19"/>
  <c r="AK33" i="19"/>
  <c r="Y43" i="19"/>
  <c r="S33" i="19"/>
  <c r="Y53" i="19"/>
  <c r="AE43" i="19"/>
  <c r="W11" i="19"/>
  <c r="AI51" i="19"/>
  <c r="AC41" i="19"/>
  <c r="Q21" i="19"/>
  <c r="K21" i="19"/>
  <c r="AC31" i="19"/>
  <c r="Q51" i="19"/>
  <c r="W41" i="19"/>
  <c r="AC21" i="19"/>
  <c r="Q31" i="19"/>
  <c r="AI31" i="19"/>
  <c r="AC51" i="19"/>
  <c r="K41" i="19"/>
  <c r="AI21" i="19"/>
  <c r="W31" i="19"/>
  <c r="W21" i="19"/>
  <c r="W51" i="19"/>
  <c r="Q11" i="19"/>
  <c r="AC11" i="19"/>
  <c r="K51" i="19"/>
  <c r="AI11" i="19"/>
  <c r="Q41" i="19"/>
  <c r="K11" i="19"/>
  <c r="AI41" i="19"/>
  <c r="K31" i="19"/>
  <c r="R35" i="19"/>
  <c r="Y30" i="19"/>
  <c r="M40" i="19"/>
  <c r="AK30" i="19"/>
  <c r="Y10" i="19"/>
  <c r="S50" i="19"/>
  <c r="AK50" i="19"/>
  <c r="AK40" i="19"/>
  <c r="AE40" i="19"/>
  <c r="M10" i="19"/>
  <c r="S40" i="19"/>
  <c r="AE20" i="19"/>
  <c r="AE10" i="19"/>
  <c r="M20" i="19"/>
  <c r="AK20" i="19"/>
  <c r="AE30" i="19"/>
  <c r="S10" i="19"/>
  <c r="S20" i="19"/>
  <c r="Y40" i="19"/>
  <c r="S30" i="19"/>
  <c r="M30" i="19"/>
  <c r="M50" i="19"/>
  <c r="AK10" i="19"/>
  <c r="Y20" i="19"/>
  <c r="AE50" i="19"/>
  <c r="Y50" i="19"/>
  <c r="Y33" i="1"/>
  <c r="Z33" i="1"/>
  <c r="Y32" i="1"/>
  <c r="Z32" i="1"/>
  <c r="Y39" i="1"/>
  <c r="Z39" i="1"/>
  <c r="Z19" i="19"/>
  <c r="AL39" i="19"/>
  <c r="N49" i="19"/>
  <c r="Z39" i="19"/>
  <c r="N9" i="19"/>
  <c r="AL49" i="19"/>
  <c r="AL19" i="19"/>
  <c r="AL29" i="19"/>
  <c r="Z9" i="19"/>
  <c r="T39" i="19"/>
  <c r="T19" i="19"/>
  <c r="N39" i="19"/>
  <c r="AF49" i="19"/>
  <c r="Z49" i="19"/>
  <c r="Z29" i="19"/>
  <c r="T29" i="19"/>
  <c r="N29" i="19"/>
  <c r="T9" i="19"/>
  <c r="N19" i="19"/>
  <c r="AF9" i="19"/>
  <c r="T49" i="19"/>
  <c r="AF29" i="19"/>
  <c r="AF39" i="19"/>
  <c r="AL9" i="19"/>
  <c r="AF19" i="19"/>
  <c r="Y34" i="1"/>
  <c r="Z34" i="1"/>
  <c r="AI16" i="19"/>
  <c r="AC36" i="19"/>
  <c r="Q26" i="19"/>
  <c r="W16" i="19"/>
  <c r="AC26" i="19"/>
  <c r="W6" i="19"/>
  <c r="K46" i="19"/>
  <c r="AG46" i="19"/>
  <c r="AA6" i="19"/>
  <c r="AG26" i="19"/>
  <c r="AM16" i="19"/>
  <c r="U26" i="19"/>
  <c r="AM46" i="19"/>
  <c r="O6" i="19"/>
  <c r="K39" i="19"/>
  <c r="W9" i="19"/>
  <c r="AC9" i="19"/>
  <c r="Q39" i="19"/>
  <c r="AI39" i="19"/>
  <c r="AC29" i="19"/>
  <c r="Q9" i="19"/>
  <c r="AC39" i="19"/>
  <c r="AC19" i="19"/>
  <c r="AI9" i="19"/>
  <c r="K29" i="19"/>
  <c r="K19" i="19"/>
  <c r="AI29" i="19"/>
  <c r="W29" i="19"/>
  <c r="Q49" i="19"/>
  <c r="Q29" i="19"/>
  <c r="K9" i="19"/>
  <c r="AC49" i="19"/>
  <c r="K49" i="19"/>
  <c r="W19" i="19"/>
  <c r="AI49" i="19"/>
  <c r="AI19" i="19"/>
  <c r="W49" i="19"/>
  <c r="Q19" i="19"/>
  <c r="W39" i="19"/>
  <c r="AJ10" i="19"/>
  <c r="AJ40" i="19"/>
  <c r="AJ30" i="19"/>
  <c r="L40" i="19"/>
  <c r="R10" i="19"/>
  <c r="AD10" i="19"/>
  <c r="R30" i="19"/>
  <c r="AD30" i="19"/>
  <c r="X30" i="19"/>
  <c r="AD40" i="19"/>
  <c r="X40" i="19"/>
  <c r="L10" i="19"/>
  <c r="R20" i="19"/>
  <c r="AD20" i="19"/>
  <c r="L30" i="19"/>
  <c r="R50" i="19"/>
  <c r="L50" i="19"/>
  <c r="AD50" i="19"/>
  <c r="X50" i="19"/>
  <c r="L20" i="19"/>
  <c r="R40" i="19"/>
  <c r="X10" i="19"/>
  <c r="AJ20" i="19"/>
  <c r="AJ50" i="19"/>
  <c r="X20" i="19"/>
  <c r="Z28" i="1"/>
  <c r="Y28" i="1"/>
  <c r="Q16" i="19"/>
  <c r="AC6" i="19"/>
  <c r="AI36" i="19"/>
  <c r="K26" i="19"/>
  <c r="AC46" i="19"/>
  <c r="AI6" i="19"/>
  <c r="O16" i="19"/>
  <c r="U6" i="19"/>
  <c r="O46" i="19"/>
  <c r="U36" i="19"/>
  <c r="AA46" i="19"/>
  <c r="AM6" i="19"/>
  <c r="AB42" i="19"/>
  <c r="P42" i="19"/>
  <c r="J42" i="19"/>
  <c r="V52" i="19"/>
  <c r="P32" i="19"/>
  <c r="AH22" i="19"/>
  <c r="J52" i="19"/>
  <c r="V12" i="19"/>
  <c r="P52" i="19"/>
  <c r="AH32" i="19"/>
  <c r="AB32" i="19"/>
  <c r="P12" i="19"/>
  <c r="AH12" i="19"/>
  <c r="AB12" i="19"/>
  <c r="AB22" i="19"/>
  <c r="V22" i="19"/>
  <c r="J12" i="19"/>
  <c r="J32" i="19"/>
  <c r="J22" i="19"/>
  <c r="AB52" i="19"/>
  <c r="V32" i="19"/>
  <c r="V42" i="19"/>
  <c r="AH52" i="19"/>
  <c r="P22" i="19"/>
  <c r="AH42" i="19"/>
  <c r="Y37" i="1"/>
  <c r="Z37" i="1"/>
  <c r="Q6" i="19"/>
  <c r="K16" i="19"/>
  <c r="W36" i="19"/>
  <c r="K36" i="19"/>
  <c r="AC16" i="19"/>
  <c r="Q46" i="19"/>
  <c r="AA26" i="19"/>
  <c r="AG16" i="19"/>
  <c r="AM26" i="19"/>
  <c r="O26" i="19"/>
  <c r="AA16" i="19"/>
  <c r="O36" i="19"/>
  <c r="Y36" i="1"/>
  <c r="Z36" i="1"/>
  <c r="N7" i="19"/>
  <c r="AF37" i="19"/>
  <c r="V30" i="19"/>
  <c r="AH10" i="19"/>
  <c r="AB40" i="19"/>
  <c r="AB10" i="19"/>
  <c r="AB20" i="19"/>
  <c r="P20" i="19"/>
  <c r="AB30" i="19"/>
  <c r="AH20" i="19"/>
  <c r="AB50" i="19"/>
  <c r="P50" i="19"/>
  <c r="AH50" i="19"/>
  <c r="P40" i="19"/>
  <c r="J30" i="19"/>
  <c r="J50" i="19"/>
  <c r="AH30" i="19"/>
  <c r="V40" i="19"/>
  <c r="V20" i="19"/>
  <c r="P30" i="19"/>
  <c r="AH40" i="19"/>
  <c r="V10" i="19"/>
  <c r="J40" i="19"/>
  <c r="P10" i="19"/>
  <c r="V50" i="19"/>
  <c r="J10" i="19"/>
  <c r="J20" i="19"/>
  <c r="AM45" i="19" l="1"/>
  <c r="AG45" i="19"/>
  <c r="O45" i="19"/>
  <c r="AA55" i="19"/>
  <c r="AM35" i="19"/>
  <c r="X45" i="19"/>
  <c r="J47" i="19"/>
  <c r="X55" i="19"/>
  <c r="AD45" i="19"/>
  <c r="P37" i="19"/>
  <c r="AA15" i="19"/>
  <c r="AA25" i="19"/>
  <c r="O55" i="19"/>
  <c r="AM25" i="19"/>
  <c r="AG25" i="19"/>
  <c r="O35" i="19"/>
  <c r="AH37" i="19"/>
  <c r="J7" i="19"/>
  <c r="L55" i="19"/>
  <c r="AJ25" i="19"/>
  <c r="M53" i="19"/>
  <c r="Y23" i="19"/>
  <c r="AE53" i="19"/>
  <c r="AK23" i="19"/>
  <c r="M33" i="19"/>
  <c r="L45" i="19"/>
  <c r="R15" i="19"/>
  <c r="L15" i="19"/>
  <c r="L25" i="19"/>
  <c r="AD55" i="19"/>
  <c r="AD15" i="19"/>
  <c r="AD25" i="19"/>
  <c r="AJ35" i="19"/>
  <c r="X35" i="19"/>
  <c r="AJ15" i="19"/>
  <c r="L35" i="19"/>
  <c r="R45" i="19"/>
  <c r="R25" i="19"/>
  <c r="AJ55" i="19"/>
  <c r="AD35" i="19"/>
  <c r="R55" i="19"/>
  <c r="AJ45" i="19"/>
  <c r="X15" i="19"/>
  <c r="X25" i="19"/>
  <c r="M43" i="19"/>
  <c r="AK43" i="19"/>
  <c r="AK53" i="19"/>
  <c r="AB27" i="19"/>
  <c r="AH47" i="19"/>
  <c r="S13" i="19"/>
  <c r="Y13" i="19"/>
  <c r="M23" i="19"/>
  <c r="AK13" i="19"/>
  <c r="S43" i="19"/>
  <c r="AE33" i="19"/>
  <c r="AE13" i="19"/>
  <c r="AE23" i="19"/>
  <c r="Y33" i="19"/>
  <c r="S53" i="19"/>
  <c r="S23" i="19"/>
  <c r="AH27" i="19"/>
  <c r="AC26" i="1"/>
  <c r="V7" i="19"/>
  <c r="V47" i="19"/>
  <c r="AH17" i="19"/>
  <c r="P7" i="19"/>
  <c r="AB37" i="19"/>
  <c r="V37" i="19"/>
  <c r="P27" i="19"/>
  <c r="V17" i="19"/>
  <c r="V27" i="19"/>
  <c r="P17" i="19"/>
  <c r="P47" i="19"/>
  <c r="AB7" i="19"/>
  <c r="AH7" i="19"/>
  <c r="J27" i="19"/>
  <c r="J17" i="19"/>
  <c r="AB47" i="19"/>
  <c r="AB17" i="19"/>
  <c r="L9" i="19"/>
  <c r="L19" i="19"/>
  <c r="R39" i="19"/>
  <c r="AD49" i="19"/>
  <c r="AD29" i="19"/>
  <c r="AJ19" i="19"/>
  <c r="AD9" i="19"/>
  <c r="AJ29" i="19"/>
  <c r="AJ39" i="19"/>
  <c r="AD19" i="19"/>
  <c r="R19" i="19"/>
  <c r="L39" i="19"/>
  <c r="AJ49" i="19"/>
  <c r="X19" i="19"/>
  <c r="AD39" i="19"/>
  <c r="X49" i="19"/>
  <c r="R9" i="19"/>
  <c r="L49" i="19"/>
  <c r="R29" i="19"/>
  <c r="L29" i="19"/>
  <c r="X9" i="19"/>
  <c r="AJ9" i="19"/>
  <c r="X39" i="19"/>
  <c r="X29" i="19"/>
  <c r="R49" i="19"/>
  <c r="Z27" i="1"/>
  <c r="AL27" i="19"/>
  <c r="AL47" i="19"/>
  <c r="T7" i="19"/>
  <c r="N47" i="19"/>
  <c r="N27" i="19"/>
  <c r="Z27" i="19"/>
  <c r="T27" i="19"/>
  <c r="N17" i="19"/>
  <c r="AF47" i="19"/>
  <c r="AF7" i="19"/>
  <c r="Z47" i="19"/>
  <c r="AL37" i="19"/>
  <c r="Z7" i="19"/>
  <c r="AL17" i="19"/>
  <c r="AL7" i="19"/>
  <c r="Z37" i="19"/>
  <c r="AF27" i="19"/>
  <c r="T17" i="19"/>
  <c r="T37" i="19"/>
  <c r="T47" i="19"/>
  <c r="AF17" i="19"/>
  <c r="Z17" i="19"/>
  <c r="P41" i="19"/>
  <c r="J31" i="19"/>
  <c r="P11" i="19"/>
  <c r="AB11" i="19"/>
  <c r="P21" i="19"/>
  <c r="AB51" i="19"/>
  <c r="V31" i="19"/>
  <c r="AB21" i="19"/>
  <c r="V51" i="19"/>
  <c r="AB31" i="19"/>
  <c r="AH11" i="19"/>
  <c r="V41" i="19"/>
  <c r="J21" i="19"/>
  <c r="J11" i="19"/>
  <c r="J51" i="19"/>
  <c r="P51" i="19"/>
  <c r="AH21" i="19"/>
  <c r="V21" i="19"/>
  <c r="AB41" i="19"/>
  <c r="AH51" i="19"/>
  <c r="P31" i="19"/>
  <c r="AH31" i="19"/>
  <c r="J41" i="19"/>
  <c r="AH41" i="19"/>
  <c r="V11" i="19"/>
  <c r="M49" i="19"/>
  <c r="Y9" i="19"/>
  <c r="AK49" i="19"/>
  <c r="M19" i="19"/>
  <c r="AK9" i="19"/>
  <c r="AE29" i="19"/>
  <c r="Y29" i="19"/>
  <c r="S49" i="19"/>
  <c r="Y39" i="19"/>
  <c r="AE9" i="19"/>
  <c r="S29" i="19"/>
  <c r="M9" i="19"/>
  <c r="AK19" i="19"/>
  <c r="AK29" i="19"/>
  <c r="AE39" i="19"/>
  <c r="S9" i="19"/>
  <c r="AE19" i="19"/>
  <c r="S19" i="19"/>
  <c r="M29" i="19"/>
  <c r="M39" i="19"/>
  <c r="S39" i="19"/>
  <c r="Y49" i="19"/>
  <c r="AE49" i="19"/>
  <c r="Y19" i="19"/>
  <c r="AK39" i="19"/>
  <c r="N30" i="19"/>
  <c r="AL30" i="19"/>
  <c r="N50" i="19"/>
  <c r="Z40" i="19"/>
  <c r="Z20" i="19"/>
  <c r="AF40" i="19"/>
  <c r="Z10" i="19"/>
  <c r="AL50" i="19"/>
  <c r="AL10" i="19"/>
  <c r="AF50" i="19"/>
  <c r="AL40" i="19"/>
  <c r="Z50" i="19"/>
  <c r="N20" i="19"/>
  <c r="T10" i="19"/>
  <c r="T50" i="19"/>
  <c r="AL20" i="19"/>
  <c r="N40" i="19"/>
  <c r="Z30" i="19"/>
  <c r="N10" i="19"/>
  <c r="AF10" i="19"/>
  <c r="T40" i="19"/>
  <c r="AF20" i="19"/>
  <c r="T30" i="19"/>
  <c r="T20" i="19"/>
  <c r="AF30" i="19"/>
  <c r="AA34" i="19"/>
  <c r="O14" i="19"/>
  <c r="AM14" i="19"/>
  <c r="AM34" i="19"/>
  <c r="AG54" i="19"/>
  <c r="AA14" i="19"/>
  <c r="AM44" i="19"/>
  <c r="AA44" i="19"/>
  <c r="U24" i="19"/>
  <c r="AA24" i="19"/>
  <c r="O24" i="19"/>
  <c r="AG44" i="19"/>
  <c r="O44" i="19"/>
  <c r="O54" i="19"/>
  <c r="AA54" i="19"/>
  <c r="AG14" i="19"/>
  <c r="AM54" i="19"/>
  <c r="U34" i="19"/>
  <c r="AG34" i="19"/>
  <c r="U44" i="19"/>
  <c r="U14" i="19"/>
  <c r="U54" i="19"/>
  <c r="AC35" i="1"/>
  <c r="O34" i="19"/>
  <c r="AM24" i="19"/>
  <c r="AE36" i="19"/>
  <c r="M6" i="19"/>
  <c r="Y26" i="19"/>
  <c r="M46" i="19"/>
  <c r="S16" i="19"/>
  <c r="AK16" i="19"/>
  <c r="S6" i="19"/>
  <c r="Y46" i="19"/>
  <c r="M36" i="19"/>
  <c r="S26" i="19"/>
  <c r="Y16" i="19"/>
  <c r="AE6" i="19"/>
  <c r="M16" i="19"/>
  <c r="AE46" i="19"/>
  <c r="AK36" i="19"/>
  <c r="AE16" i="19"/>
  <c r="AK6" i="19"/>
  <c r="Y36" i="19"/>
  <c r="Y6" i="19"/>
  <c r="S36" i="19"/>
  <c r="S46" i="19"/>
  <c r="AE26" i="19"/>
  <c r="AK46" i="19"/>
  <c r="M26" i="19"/>
  <c r="AK26" i="19"/>
  <c r="AL34" i="19"/>
  <c r="T44" i="19"/>
  <c r="N24" i="19"/>
  <c r="Z24" i="19"/>
  <c r="Z14" i="19"/>
  <c r="AL54" i="19"/>
  <c r="AC34" i="1"/>
  <c r="AF44" i="19"/>
  <c r="AL44" i="19"/>
  <c r="N54" i="19"/>
  <c r="Z54" i="19"/>
  <c r="AF34" i="19"/>
  <c r="T24" i="19"/>
  <c r="T34" i="19"/>
  <c r="AL24" i="19"/>
  <c r="AL14" i="19"/>
  <c r="N34" i="19"/>
  <c r="AF24" i="19"/>
  <c r="Z34" i="19"/>
  <c r="T14" i="19"/>
  <c r="N14" i="19"/>
  <c r="Z44" i="19"/>
  <c r="AF14" i="19"/>
  <c r="AF54" i="19"/>
  <c r="T54" i="19"/>
  <c r="N44" i="19"/>
  <c r="U13" i="19"/>
  <c r="AM33" i="19"/>
  <c r="O53" i="19"/>
  <c r="O33" i="19"/>
  <c r="U33" i="19"/>
  <c r="AG13" i="19"/>
  <c r="U53" i="19"/>
  <c r="AM53" i="19"/>
  <c r="AA33" i="19"/>
  <c r="U23" i="19"/>
  <c r="AM13" i="19"/>
  <c r="AG53" i="19"/>
  <c r="O23" i="19"/>
  <c r="AM43" i="19"/>
  <c r="AG43" i="19"/>
  <c r="O43" i="19"/>
  <c r="O13" i="19"/>
  <c r="AA13" i="19"/>
  <c r="AG23" i="19"/>
  <c r="AA43" i="19"/>
  <c r="AA53" i="19"/>
  <c r="AA23" i="19"/>
  <c r="U43" i="19"/>
  <c r="AG33" i="19"/>
  <c r="AM23" i="19"/>
  <c r="AI43" i="19"/>
  <c r="K13" i="19"/>
  <c r="K43" i="19"/>
  <c r="Q33" i="19"/>
  <c r="AC13" i="19"/>
  <c r="W13" i="19"/>
  <c r="W53" i="19"/>
  <c r="AC43" i="19"/>
  <c r="Q53" i="19"/>
  <c r="AI33" i="19"/>
  <c r="AI23" i="19"/>
  <c r="W23" i="19"/>
  <c r="AI13" i="19"/>
  <c r="AI53" i="19"/>
  <c r="K53" i="19"/>
  <c r="Q43" i="19"/>
  <c r="AC53" i="19"/>
  <c r="Q23" i="19"/>
  <c r="W43" i="19"/>
  <c r="AC23" i="19"/>
  <c r="K23" i="19"/>
  <c r="Q13" i="19"/>
  <c r="K33" i="19"/>
  <c r="AC33" i="19"/>
  <c r="W33" i="19"/>
  <c r="X54" i="19"/>
  <c r="R54" i="19"/>
  <c r="AJ24" i="19"/>
  <c r="X34" i="19"/>
  <c r="R44" i="19"/>
  <c r="R34" i="19"/>
  <c r="R14" i="19"/>
  <c r="AJ34" i="19"/>
  <c r="AC32" i="1"/>
  <c r="AD54" i="19"/>
  <c r="L24" i="19"/>
  <c r="L54" i="19"/>
  <c r="AD24" i="19"/>
  <c r="X24" i="19"/>
  <c r="L14" i="19"/>
  <c r="X14" i="19"/>
  <c r="AD44" i="19"/>
  <c r="R24" i="19"/>
  <c r="AJ54" i="19"/>
  <c r="AD34" i="19"/>
  <c r="AD14" i="19"/>
  <c r="AJ14" i="19"/>
  <c r="L34" i="19"/>
  <c r="L44" i="19"/>
  <c r="X44" i="19"/>
  <c r="AJ44" i="19"/>
  <c r="N43" i="19"/>
  <c r="Z43" i="19"/>
  <c r="AL43" i="19"/>
  <c r="T33" i="19"/>
  <c r="AF33" i="19"/>
  <c r="AL33" i="19"/>
  <c r="AF53" i="19"/>
  <c r="AF43" i="19"/>
  <c r="Z23" i="19"/>
  <c r="AL53" i="19"/>
  <c r="T23" i="19"/>
  <c r="AF13" i="19"/>
  <c r="N53" i="19"/>
  <c r="Z33" i="19"/>
  <c r="Z13" i="19"/>
  <c r="AL23" i="19"/>
  <c r="N33" i="19"/>
  <c r="N23" i="19"/>
  <c r="T13" i="19"/>
  <c r="T43" i="19"/>
  <c r="AF23" i="19"/>
  <c r="N13" i="19"/>
  <c r="T53" i="19"/>
  <c r="AL13" i="19"/>
  <c r="Z53" i="19"/>
  <c r="AK15" i="19"/>
  <c r="M25" i="19"/>
  <c r="M15" i="19"/>
  <c r="AE55" i="19"/>
  <c r="AK35" i="19"/>
  <c r="AE35" i="19"/>
  <c r="AK55" i="19"/>
  <c r="M55" i="19"/>
  <c r="S55" i="19"/>
  <c r="Y15" i="19"/>
  <c r="S25" i="19"/>
  <c r="AK25" i="19"/>
  <c r="AE25" i="19"/>
  <c r="S45" i="19"/>
  <c r="AK45" i="19"/>
  <c r="Y25" i="19"/>
  <c r="Y55" i="19"/>
  <c r="AC39" i="1"/>
  <c r="M35" i="19"/>
  <c r="S15" i="19"/>
  <c r="Y35" i="19"/>
  <c r="M45" i="19"/>
  <c r="S35" i="19"/>
  <c r="AE15" i="19"/>
  <c r="AE45" i="19"/>
  <c r="Y45" i="19"/>
  <c r="Y41" i="19"/>
  <c r="S31" i="19"/>
  <c r="AK21" i="19"/>
  <c r="AE21" i="19"/>
  <c r="M21" i="19"/>
  <c r="AK11" i="19"/>
  <c r="M11" i="19"/>
  <c r="Y21" i="19"/>
  <c r="Y51" i="19"/>
  <c r="S51" i="19"/>
  <c r="S21" i="19"/>
  <c r="AK41" i="19"/>
  <c r="AK31" i="19"/>
  <c r="AE51" i="19"/>
  <c r="S41" i="19"/>
  <c r="M51" i="19"/>
  <c r="AE31" i="19"/>
  <c r="AE11" i="19"/>
  <c r="Y11" i="19"/>
  <c r="S11" i="19"/>
  <c r="M41" i="19"/>
  <c r="AE41" i="19"/>
  <c r="Y31" i="19"/>
  <c r="M31" i="19"/>
  <c r="AK51" i="19"/>
  <c r="S24" i="19"/>
  <c r="Y34" i="19"/>
  <c r="AK34" i="19"/>
  <c r="S44" i="19"/>
  <c r="Y44" i="19"/>
  <c r="AE44" i="19"/>
  <c r="S14" i="19"/>
  <c r="Y54" i="19"/>
  <c r="M24" i="19"/>
  <c r="M34" i="19"/>
  <c r="AK24" i="19"/>
  <c r="AE24" i="19"/>
  <c r="AE14" i="19"/>
  <c r="Y14" i="19"/>
  <c r="AK44" i="19"/>
  <c r="M14" i="19"/>
  <c r="AK54" i="19"/>
  <c r="S54" i="19"/>
  <c r="AE54" i="19"/>
  <c r="AK14" i="19"/>
  <c r="S34" i="19"/>
  <c r="AE34" i="19"/>
  <c r="Y24" i="19"/>
  <c r="AC33" i="1"/>
  <c r="M44" i="19"/>
  <c r="M54" i="19"/>
  <c r="L26" i="19"/>
  <c r="AD46" i="19"/>
  <c r="X6" i="19"/>
  <c r="AJ46" i="19"/>
  <c r="L46" i="19"/>
  <c r="AJ36" i="19"/>
  <c r="AJ26" i="19"/>
  <c r="AJ16" i="19"/>
  <c r="AJ6" i="19"/>
  <c r="AD16" i="19"/>
  <c r="X36" i="19"/>
  <c r="R16" i="19"/>
  <c r="AD26" i="19"/>
  <c r="L36" i="19"/>
  <c r="X26" i="19"/>
  <c r="X16" i="19"/>
  <c r="R46" i="19"/>
  <c r="X46" i="19"/>
  <c r="L6" i="19"/>
  <c r="R36" i="19"/>
  <c r="AD6" i="19"/>
  <c r="AD36" i="19"/>
  <c r="R26" i="19"/>
  <c r="R6" i="19"/>
  <c r="L16" i="19"/>
  <c r="AE27" i="19"/>
  <c r="AE17" i="19"/>
  <c r="AE37" i="19"/>
  <c r="AE47" i="19"/>
  <c r="S47" i="19"/>
  <c r="AK7" i="19"/>
  <c r="Y47" i="19"/>
  <c r="Y7" i="19"/>
  <c r="M7" i="19"/>
  <c r="AK37" i="19"/>
  <c r="AK17" i="19"/>
  <c r="S7" i="19"/>
  <c r="Y37" i="19"/>
  <c r="Y17" i="19"/>
  <c r="M37" i="19"/>
  <c r="S37" i="19"/>
  <c r="M47" i="19"/>
  <c r="AK47" i="19"/>
  <c r="Y27" i="19"/>
  <c r="M17" i="19"/>
  <c r="AE7" i="19"/>
  <c r="AK27" i="19"/>
  <c r="M27" i="19"/>
  <c r="S27" i="19"/>
  <c r="S17" i="19"/>
  <c r="R31" i="19"/>
  <c r="AD51" i="19"/>
  <c r="L11" i="19"/>
  <c r="X21" i="19"/>
  <c r="R51" i="19"/>
  <c r="AJ21" i="19"/>
  <c r="AJ31" i="19"/>
  <c r="AJ41" i="19"/>
  <c r="AJ11" i="19"/>
  <c r="X41" i="19"/>
  <c r="L21" i="19"/>
  <c r="L51" i="19"/>
  <c r="AD41" i="19"/>
  <c r="X11" i="19"/>
  <c r="AD11" i="19"/>
  <c r="AD21" i="19"/>
  <c r="R11" i="19"/>
  <c r="X31" i="19"/>
  <c r="L41" i="19"/>
  <c r="R41" i="19"/>
  <c r="AD31" i="19"/>
  <c r="R21" i="19"/>
  <c r="X51" i="19"/>
  <c r="L31" i="19"/>
  <c r="AJ51" i="19"/>
  <c r="N25" i="19"/>
  <c r="T45" i="19"/>
  <c r="AL35" i="19"/>
  <c r="T55" i="19"/>
  <c r="AF15" i="19"/>
  <c r="N55" i="19"/>
  <c r="Z35" i="19"/>
  <c r="AL25" i="19"/>
  <c r="AF25" i="19"/>
  <c r="AF45" i="19"/>
  <c r="Z15" i="19"/>
  <c r="Z55" i="19"/>
  <c r="AL15" i="19"/>
  <c r="T15" i="19"/>
  <c r="AC40" i="1"/>
  <c r="AF35" i="19"/>
  <c r="T35" i="19"/>
  <c r="T25" i="19"/>
  <c r="AL55" i="19"/>
  <c r="N35" i="19"/>
  <c r="N15" i="19"/>
  <c r="N45" i="19"/>
  <c r="Z45" i="19"/>
  <c r="Z25" i="19"/>
  <c r="AF55" i="19"/>
  <c r="AL45" i="19"/>
  <c r="Q54" i="19"/>
  <c r="AC44" i="19"/>
  <c r="K24" i="19"/>
  <c r="W44" i="19"/>
  <c r="K44" i="19"/>
  <c r="W54" i="19"/>
  <c r="AC14" i="19"/>
  <c r="Q24" i="19"/>
  <c r="K54" i="19"/>
  <c r="AC24" i="19"/>
  <c r="Q44" i="19"/>
  <c r="Q34" i="19"/>
  <c r="K34" i="19"/>
  <c r="Q14" i="19"/>
  <c r="AI34" i="19"/>
  <c r="AC54" i="19"/>
  <c r="AC34" i="19"/>
  <c r="W24" i="19"/>
  <c r="AC31" i="1"/>
  <c r="W14" i="19"/>
  <c r="W34" i="19"/>
  <c r="AI54" i="19"/>
  <c r="AI44" i="19"/>
  <c r="K14" i="19"/>
  <c r="AI14" i="19"/>
  <c r="AI24" i="19"/>
  <c r="S48" i="19"/>
  <c r="AE18" i="19"/>
  <c r="S28" i="19"/>
  <c r="M28" i="19"/>
  <c r="S38" i="19"/>
  <c r="Y38" i="19"/>
  <c r="AE28" i="19"/>
  <c r="M38" i="19"/>
  <c r="Y48" i="19"/>
  <c r="M18" i="19"/>
  <c r="AK8" i="19"/>
  <c r="M48" i="19"/>
  <c r="AK48" i="19"/>
  <c r="M8" i="19"/>
  <c r="Y28" i="19"/>
  <c r="S8" i="19"/>
  <c r="AK28" i="19"/>
  <c r="Y18" i="19"/>
  <c r="AE8" i="19"/>
  <c r="Y8" i="19"/>
  <c r="S18" i="19"/>
  <c r="AK18" i="19"/>
  <c r="AE38" i="19"/>
  <c r="AK38" i="19"/>
  <c r="AE48" i="19"/>
  <c r="W38" i="19"/>
  <c r="AI28" i="19"/>
  <c r="K38" i="19"/>
  <c r="W48" i="19"/>
  <c r="Q38" i="19"/>
  <c r="AI38" i="19"/>
  <c r="AC18" i="19"/>
  <c r="AC8" i="19"/>
  <c r="W18" i="19"/>
  <c r="AI8" i="19"/>
  <c r="Q48" i="19"/>
  <c r="K18" i="19"/>
  <c r="AC28" i="19"/>
  <c r="K28" i="19"/>
  <c r="Q28" i="19"/>
  <c r="AI48" i="19"/>
  <c r="Q8" i="19"/>
  <c r="AC38" i="19"/>
  <c r="K8" i="19"/>
  <c r="AI18" i="19"/>
  <c r="AC48" i="19"/>
  <c r="W28" i="19"/>
  <c r="W8" i="19"/>
  <c r="K48" i="19"/>
  <c r="Q18" i="19"/>
  <c r="W17" i="19"/>
  <c r="AI17" i="19"/>
  <c r="AC27" i="19"/>
  <c r="AC27" i="1"/>
  <c r="W47" i="19"/>
  <c r="K27" i="19"/>
  <c r="W27" i="19"/>
  <c r="K47" i="19"/>
  <c r="AC47" i="19"/>
  <c r="AC17" i="19"/>
  <c r="Q37" i="19"/>
  <c r="K17" i="19"/>
  <c r="W37" i="19"/>
  <c r="Q47" i="19"/>
  <c r="AI47" i="19"/>
  <c r="AC37" i="19"/>
  <c r="K37" i="19"/>
  <c r="AI27" i="19"/>
  <c r="K7" i="19"/>
  <c r="AI7" i="19"/>
  <c r="W7" i="19"/>
  <c r="Q27" i="19"/>
  <c r="AI37" i="19"/>
  <c r="AC7" i="19"/>
  <c r="Q7" i="19"/>
  <c r="Q17" i="19"/>
  <c r="K45" i="19"/>
  <c r="K55" i="19"/>
  <c r="AI35" i="19"/>
  <c r="AC55" i="19"/>
  <c r="AC45" i="19"/>
  <c r="Q45" i="19"/>
  <c r="AI45" i="19"/>
  <c r="AC15" i="19"/>
  <c r="Q55" i="19"/>
  <c r="W15" i="19"/>
  <c r="Q25" i="19"/>
  <c r="W35" i="19"/>
  <c r="K35" i="19"/>
  <c r="W45" i="19"/>
  <c r="Q15" i="19"/>
  <c r="AI25" i="19"/>
  <c r="K15" i="19"/>
  <c r="W55" i="19"/>
  <c r="AI55" i="19"/>
  <c r="AC25" i="19"/>
  <c r="Q35" i="19"/>
  <c r="AC35" i="19"/>
  <c r="AC37" i="1"/>
  <c r="W25" i="19"/>
  <c r="K25" i="19"/>
  <c r="AI15" i="19"/>
  <c r="Z11" i="19"/>
  <c r="Z41" i="19"/>
  <c r="Z31" i="19"/>
  <c r="T11" i="19"/>
  <c r="Z21" i="19"/>
  <c r="N41" i="19"/>
  <c r="T41" i="19"/>
  <c r="AF31" i="19"/>
  <c r="AF21" i="19"/>
  <c r="N21" i="19"/>
  <c r="AF11" i="19"/>
  <c r="AL51" i="19"/>
  <c r="Z51" i="19"/>
  <c r="AF41" i="19"/>
  <c r="T51" i="19"/>
  <c r="AL31" i="19"/>
  <c r="N31" i="19"/>
  <c r="AL41" i="19"/>
  <c r="N11" i="19"/>
  <c r="N51" i="19"/>
  <c r="T31" i="19"/>
  <c r="AL11" i="19"/>
  <c r="T21" i="19"/>
  <c r="AF51" i="19"/>
  <c r="AL21" i="19"/>
  <c r="AB28" i="19"/>
  <c r="V38" i="19"/>
  <c r="AH28" i="19"/>
  <c r="AB38" i="19"/>
  <c r="V48" i="19"/>
  <c r="P8" i="19"/>
  <c r="AH8" i="19"/>
  <c r="J28" i="19"/>
  <c r="P48" i="19"/>
  <c r="AH18" i="19"/>
  <c r="P28" i="19"/>
  <c r="P18" i="19"/>
  <c r="AH38" i="19"/>
  <c r="AH48" i="19"/>
  <c r="AB8" i="19"/>
  <c r="J18" i="19"/>
  <c r="P38" i="19"/>
  <c r="V8" i="19"/>
  <c r="V28" i="19"/>
  <c r="J8" i="19"/>
  <c r="J38" i="19"/>
  <c r="AC28" i="1"/>
  <c r="AB48" i="19"/>
  <c r="J48" i="19"/>
  <c r="AB18" i="19"/>
  <c r="V18" i="19"/>
  <c r="AB45" i="19"/>
  <c r="P15" i="19"/>
  <c r="AH45" i="19"/>
  <c r="V35" i="19"/>
  <c r="AB25" i="19"/>
  <c r="P25" i="19"/>
  <c r="V25" i="19"/>
  <c r="AH25" i="19"/>
  <c r="P45" i="19"/>
  <c r="J25" i="19"/>
  <c r="J55" i="19"/>
  <c r="AH35" i="19"/>
  <c r="P35" i="19"/>
  <c r="V45" i="19"/>
  <c r="V15" i="19"/>
  <c r="AB55" i="19"/>
  <c r="V55" i="19"/>
  <c r="J15" i="19"/>
  <c r="AH15" i="19"/>
  <c r="J45" i="19"/>
  <c r="AH55" i="19"/>
  <c r="AB35" i="19"/>
  <c r="P55" i="19"/>
  <c r="AB15" i="19"/>
  <c r="J35" i="19"/>
  <c r="AC36" i="1"/>
  <c r="L8" i="19"/>
  <c r="R18" i="19"/>
  <c r="X18" i="19"/>
  <c r="X28" i="19"/>
  <c r="AD18" i="19"/>
  <c r="AJ18" i="19"/>
  <c r="AD38" i="19"/>
  <c r="L38" i="19"/>
  <c r="X48" i="19"/>
  <c r="R8" i="19"/>
  <c r="AJ38" i="19"/>
  <c r="R38" i="19"/>
  <c r="X8" i="19"/>
  <c r="AD48" i="19"/>
  <c r="R28" i="19"/>
  <c r="X38" i="19"/>
  <c r="L48" i="19"/>
  <c r="AD28" i="19"/>
  <c r="R48" i="19"/>
  <c r="AD8" i="19"/>
  <c r="AJ28" i="19"/>
  <c r="L18" i="19"/>
  <c r="AJ8" i="19"/>
  <c r="AJ48" i="19"/>
  <c r="L28"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<sst xmlns="http://schemas.openxmlformats.org/spreadsheetml/2006/main" count="484" uniqueCount="333">
  <si>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</si>
  <si>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</si>
  <si>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</si>
  <si>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</si>
  <si>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</si>
  <si>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</si>
  <si>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</si>
  <si>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</si>
  <si>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</si>
  <si>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</si>
  <si>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</si>
  <si>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</si>
  <si>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</si>
  <si>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</si>
  <si>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</si>
  <si>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</si>
  <si>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</si>
  <si>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</si>
  <si>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</si>
  <si>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</si>
  <si>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</si>
  <si>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</si>
  <si>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</si>
  <si>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</si>
  <si>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</si>
  <si>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</si>
  <si>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</si>
  <si>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</si>
  <si>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</si>
  <si>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</si>
  <si>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</si>
  <si>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</si>
  <si>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</si>
  <si>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</si>
  <si>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</si>
  <si>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</si>
  <si>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</si>
  <si>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</si>
  <si>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</si>
  <si>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</si>
  <si>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</si>
  <si>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</si>
  <si>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</si>
  <si>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</si>
  <si>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</si>
  <si>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</si>
  <si>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</si>
  <si>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</si>
  <si>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</si>
  <si>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</si>
  <si>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</si>
  <si>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</si>
  <si>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</si>
  <si>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</si>
  <si>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</si>
  <si>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</si>
  <si>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</si>
  <si>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</si>
  <si>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</si>
  <si>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</si>
  <si>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</si>
  <si>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</si>
  <si>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</si>
  <si>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</si>
  <si>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</si>
  <si>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</si>
  <si>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</si>
  <si>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</si>
  <si>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</si>
  <si>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</si>
  <si>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</si>
  <si>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</si>
  <si>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</si>
  <si>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</si>
  <si>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</si>
  <si>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</si>
  <si>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</si>
  <si>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</si>
  <si>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</si>
  <si>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</si>
  <si>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</si>
  <si>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</si>
  <si>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</si>
  <si>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</si>
  <si>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</si>
  <si>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</si>
  <si>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</si>
  <si>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</si>
  <si>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</si>
  <si>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</si>
  <si>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</si>
  <si>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</si>
  <si>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</si>
  <si>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</si>
  <si>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</si>
  <si>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</si>
  <si>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</si>
  <si>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</si>
  <si>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</si>
  <si>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</si>
  <si>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</si>
  <si>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</si>
  <si>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</si>
  <si>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</si>
  <si>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</si>
  <si>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</si>
  <si>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</si>
  <si>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</si>
  <si>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</si>
  <si>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</si>
  <si>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</si>
  <si>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</si>
  <si>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</si>
  <si>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</si>
  <si>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</si>
  <si>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</si>
  <si>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</si>
  <si>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</si>
  <si>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</si>
  <si>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</si>
  <si>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</si>
  <si>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</si>
  <si>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</si>
  <si>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</si>
  <si>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</si>
  <si>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</si>
  <si>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</si>
  <si>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</si>
  <si>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</si>
  <si>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</si>
  <si>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</si>
  <si>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</si>
  <si>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</si>
  <si>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</si>
  <si>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</si>
  <si>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</si>
  <si>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</si>
  <si>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</si>
  <si>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</si>
  <si>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</si>
  <si>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</si>
  <si>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</si>
  <si>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</si>
  <si>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</si>
  <si>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</si>
  <si>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</si>
  <si>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</si>
  <si>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</si>
  <si>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</si>
  <si>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</si>
  <si>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</si>
  <si>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</si>
  <si>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</si>
  <si>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</si>
  <si>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</si>
  <si>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</si>
  <si>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</si>
  <si>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</si>
  <si>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</si>
  <si>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</si>
  <si>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</si>
  <si>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</si>
  <si>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</si>
  <si>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</si>
  <si>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</si>
  <si>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</si>
  <si>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</si>
  <si>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</si>
  <si>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</si>
  <si>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</si>
  <si>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</si>
  <si>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</si>
  <si>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</si>
  <si>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</si>
  <si>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</si>
  <si>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</si>
  <si>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</si>
  <si>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</si>
  <si>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</si>
  <si>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</si>
  <si>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</si>
  <si>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</si>
  <si>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</si>
  <si>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</si>
  <si>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</si>
  <si>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</si>
  <si>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</si>
  <si>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</si>
  <si>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</si>
  <si>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</si>
  <si>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</si>
  <si>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</si>
  <si>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</si>
  <si>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</si>
  <si>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</si>
  <si>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</si>
  <si>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</si>
  <si>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</si>
  <si>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</si>
  <si>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</si>
  <si>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</si>
  <si>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</si>
  <si>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</si>
  <si>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</si>
  <si>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</si>
  <si>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</si>
  <si>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</si>
  <si>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</si>
  <si>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</si>
  <si>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</si>
  <si>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t>
  </si>
  <si>
    <t xml:space="preserve">ANÁLISIS DOFA        </t>
  </si>
  <si>
    <t>Origen Interno</t>
  </si>
  <si>
    <t>Fortalezas</t>
  </si>
  <si>
    <t>Debilidades</t>
  </si>
  <si>
    <t>Origen Externo</t>
  </si>
  <si>
    <t>Oportunidades</t>
  </si>
  <si>
    <t>Amenazas</t>
  </si>
  <si>
    <r>
      <t xml:space="preserve">El archivo contiene las siguientes hojas:
- Instructivo
-   </t>
    </r>
    <r>
      <rPr>
        <b/>
        <sz val="11"/>
        <rFont val="Arial Narrow"/>
        <family val="2"/>
      </rPr>
      <t xml:space="preserve">Hoja 1 Contexto del proceso:  </t>
    </r>
    <r>
      <rPr>
        <sz val="11"/>
        <rFont val="Arial Narrow"/>
        <family val="2"/>
      </rPr>
      <t xml:space="preserve">Diligenciar analisis DOFA para cada proceso </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</si>
  <si>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Código</t>
  </si>
  <si>
    <t>PLE-PIN-F001</t>
  </si>
  <si>
    <t>Versión</t>
  </si>
  <si>
    <t>Vigencia</t>
  </si>
  <si>
    <t>Caso HOLA:</t>
  </si>
  <si>
    <t>CONTROL DE CAMBIOS MATRIZ DE RIESGOS</t>
  </si>
  <si>
    <t>VERSIÓN</t>
  </si>
  <si>
    <t>FECHA</t>
  </si>
  <si>
    <t>DESCRIPCIÓN DE LA MODIFICACIÓN</t>
  </si>
  <si>
    <t>NOTA: Para el diligenciamiento de esta matriz tenga en cuenta el manual "Gestión del Riesgo" PLE-PIN-M001</t>
  </si>
  <si>
    <t>MATRIZ MAPA DE RIESGO</t>
  </si>
  <si>
    <t>Ambiental</t>
  </si>
  <si>
    <t>Daños Activos Físicos</t>
  </si>
  <si>
    <t>Ejecución y Administración de Procesos</t>
  </si>
  <si>
    <t>Fallas Tecnológicas</t>
  </si>
  <si>
    <t>Usuarios, productos y prácticas organizacionales</t>
  </si>
  <si>
    <t>Ambientales</t>
  </si>
  <si>
    <t>Afectación Ambiental</t>
  </si>
  <si>
    <t>Entre 1-12.500</t>
  </si>
  <si>
    <t>&gt; 12.500 - 25.000</t>
  </si>
  <si>
    <t>&gt; 25.000 – 125.000</t>
  </si>
  <si>
    <t>&gt; 125.000 – 500.000</t>
  </si>
  <si>
    <t>El riesgo afecta la imagen de la entidad internamente, de conocimiento general, nivel interno, de junta directiva y accionistas y/o de provedores</t>
  </si>
  <si>
    <t>&gt; 500.000 – 1.000.000</t>
  </si>
  <si>
    <t>No.</t>
  </si>
  <si>
    <t>CRITERIOS DE VALORACIÓN</t>
  </si>
  <si>
    <t>ESCALA DE VALOR</t>
  </si>
  <si>
    <t>Se refiere al área de influencia del impacto en relación con el entorno donde se genera.</t>
  </si>
  <si>
    <t>Puntual 1</t>
  </si>
  <si>
    <t>El impacto queda confinado dentro del área donde se genera.</t>
  </si>
  <si>
    <t>Local 5</t>
  </si>
  <si>
    <t>Trasciende los límites del área de influencia.</t>
  </si>
  <si>
    <t>Regional o nacional 10</t>
  </si>
  <si>
    <t>Tiene consecuencias a nivel regional o trasciende los límites del Distrito.</t>
  </si>
  <si>
    <t>Se refiere a la posibilidad que se dé el impacto y está relacionada con la "REGULARIDAD" (Normal, anormal o</t>
  </si>
  <si>
    <t>de emergencia).</t>
  </si>
  <si>
    <t>Baja 1</t>
  </si>
  <si>
    <t>Existe una posibilidad muy remota de que suceda</t>
  </si>
  <si>
    <t>Media 5</t>
  </si>
  <si>
    <t>Existe una posibilidad media de que suceda.</t>
  </si>
  <si>
    <t>Alta 10</t>
  </si>
  <si>
    <t>Es muy posible que suceda en cualquier momento.</t>
  </si>
  <si>
    <t>Duración</t>
  </si>
  <si>
    <t>Se refiere al tiempo que permanecerá el efecto positivo o negativo del impacto en el ambiente.</t>
  </si>
  <si>
    <t>Breve 1</t>
  </si>
  <si>
    <t>Alteración del recurso durante un lapso muy pequeño.</t>
  </si>
  <si>
    <t>Temporal 5</t>
  </si>
  <si>
    <t>Alteración del recurso durante un lapso moderado.</t>
  </si>
  <si>
    <t>Permanente 10</t>
  </si>
  <si>
    <t>Alteración del recurso permanente en el tiempo</t>
  </si>
  <si>
    <t>Recuperabilidad</t>
  </si>
  <si>
    <t>Se refiere a la posibilidad de reconstrucción, total o parcial del recurso afectado por el impacto.</t>
  </si>
  <si>
    <t>Reversible 1</t>
  </si>
  <si>
    <t>Recuperable 5</t>
  </si>
  <si>
    <t>Irrecuperable /irreversible 10</t>
  </si>
  <si>
    <t>El/los recursos afectados no retornan a las condiciones originales a través de ningún medio.</t>
  </si>
  <si>
    <t>Cantidad</t>
  </si>
  <si>
    <t>Se refiere a la magnitud del impacto, es decir, la severidad con la que ocurrirá la afectación y/o riesgo sobre el recurso.</t>
  </si>
  <si>
    <t>Alteración mínima del recurso. Existe bajo potencial de riesgo sobre el recurso o el ambiente.</t>
  </si>
  <si>
    <t>Moderada 5</t>
  </si>
  <si>
    <t>Alteración moderada del recurso. Tiene un potencial de riesgo medio sobre el recurso o el ambiente.</t>
  </si>
  <si>
    <t>Alteración Significativa del recurso. Tiene efectos importantes sobre el recurso o el ambiente.</t>
  </si>
  <si>
    <t>Normatividad</t>
  </si>
  <si>
    <t>Hace referencia a la normatividad ambiental aplicable    al    aspecto    y/o    el    impacto ambiental.</t>
  </si>
  <si>
    <t>No tiene normatividad relacionada.</t>
  </si>
  <si>
    <t>N/A</t>
  </si>
  <si>
    <t>Tiene normatividad relacionada.</t>
  </si>
  <si>
    <t>Se puede disminuir el efecto a través de medidas de control hasta un estándar determinado.</t>
  </si>
  <si>
    <t>Puede eliminarse el efecto por medio de actividades humanas tendientes a restablecer las condiciones originales del recurso.</t>
  </si>
  <si>
    <t>27 de abril de 2022</t>
  </si>
  <si>
    <t>Se ajustó la identificación de riesgos, el análisis, la valoración y el tratamiento de la matriz</t>
  </si>
  <si>
    <t>Elaboración del documento. Reemplaza la matriz de riesgos del proceso de Gestión para la Gobernabilidad Local con código 1D-GGL-MR001. Se actualizaron todos los elementos de la matriz de riesgo de acuerdo al objetivo, alcance y servicios del proceso Acompañamiento a la Gestión Local, en el nuevo modelo de operación por procesos, así como la alineación con el marco estratégico aprobado por el Decreto 162 de 2017.</t>
  </si>
  <si>
    <t>Se ajusta y se actualiza la matriz de acuerdo con la guía del DAFP V4 -2018 a través del manual de gestión del riesgo versión 11- 2019, se ingresa las columnas para las características y la evaluación de los controles, de acuerdo con el memorando radicado número 20192000477843 del 29 de agosto del 2019, se elimina el riesgo R1 -R2-R6-R8 el R2 se traslada a planeación sectorial, se ajustan los R3 y R7  se unifican los R4 y R5, identificando tres (3)  riesgos para esta versión,  se ajustan los controles en concordancia al Manual de Gestión de Riesgos.</t>
  </si>
  <si>
    <t>Se traslada la información de la matriz del proceso de   V4  al formato de matriz de riesgo por proceso versión 4  publicado en MATIZ, se realiza mesa técnica con los líderes del proceso y promotores de mejora para su aprobación, modificación y valoración de la nueva formulación y ajuste realizado al resultado del riesgo residual. Se realiza actualización del contexto del proceso de acuerdo al Plan Distrital de Desarrollo vigente. Se modifica riesgo 4 sus causas y consecuencias</t>
  </si>
  <si>
    <t>F1 Equipo de trabajo interdisciplinario, comprometido y cualificado con conocimientos y experiencia</t>
  </si>
  <si>
    <t>D1 Comunicación errónea y fragmentada que conlleva a falta de continuidad en el seguimiento y el desconocimiento de metodologías y lineamientos</t>
  </si>
  <si>
    <t>F2 Capacidad para coordinar y articular la gestión interinstitucional</t>
  </si>
  <si>
    <t>F3 Liderazgo y reconocimiento a nivel Distrital</t>
  </si>
  <si>
    <t>D2 Poca visibilización y comunicación del trabajo realizado</t>
  </si>
  <si>
    <t>F4 Capacidad organizacional para el logro de objetivos</t>
  </si>
  <si>
    <t>F5 Organización y centralización de la información de la Gestión Local</t>
  </si>
  <si>
    <t>D3 Falta fortalecer la articulación y comunicación entre los actores del proceso</t>
  </si>
  <si>
    <t>F6 Procesos de capacitación a los equipos de las dependencias que participan en el proceso</t>
  </si>
  <si>
    <t>F7 Rigurosidad técnica</t>
  </si>
  <si>
    <t>O1 Herramientas tecnológicas para mejorar la gestión</t>
  </si>
  <si>
    <t>A1 Desconocimiento y/o imprecisión de las responsabilidades entre entidades frente a temas específicos, reportes de información y/o duplicidad de la información (ej: encuentros ciudadanos)</t>
  </si>
  <si>
    <t>O2 Coordinación y articulación con corporaciones públicas, entidades del orden nacional, departamental, regional y distrital y Alcaldías Locales</t>
  </si>
  <si>
    <t>A2 Injerencia de terceros con intereses particulares</t>
  </si>
  <si>
    <t>O3 Nuevo enfoque de la administración actual orientado al Gobierno Abierto, la transparencia y el enfoque social</t>
  </si>
  <si>
    <t>A3 Procesos interinstitucionales de concertación errados y/o muy largos</t>
  </si>
  <si>
    <t>O4 Normatividad distrital que fortalece las acciones del distrito en lo local</t>
  </si>
  <si>
    <t>Acompañamiento a la Gestión Local</t>
  </si>
  <si>
    <t>Fortalecer la capacidad institucional de las Alcaldías Locales, mediante el diseño y acompañamiento en la implementación del modelo de gestión, la asistencia técnica y generación de alertas tempranas frente a la gestión local en materia policiva y desarrollo local y el impulso a la capacidad de interlocución de los alcaldes locales con los actores institucionales y sociales, para mejorar la calidad de vida de los Bogotanos y consolidar la gobernabilidad democrática local.</t>
  </si>
  <si>
    <t>Orientaciones, lineamientos, acompañamiento, coordinación interinstitucional, asistencia técnica, capacitación, seguimiento y evaluación a la gestión local en materia policiva y de desarrollo local.</t>
  </si>
  <si>
    <t>Incumplimiento de las actividades establecidas en el plan de acción.</t>
  </si>
  <si>
    <t>Errores en la citación de la normatividad aplicable.</t>
  </si>
  <si>
    <t>Inobservancia de los términos establecidos para dar respuesta a las solicitudes</t>
  </si>
  <si>
    <t>Desconocimiento de las normas y/o particularidades que rigen el Distrito Capital y/o deficiencias en el control de entrada, asignacion y respuestas a las solicitudes de los FDL.</t>
  </si>
  <si>
    <t>Posibilidad de afectación reputacional por  que la asistencia técnica no se suministre oportunamente y/o no se ajuste a la normatividad, orientaciones técnicas y/ o lineamientos vigentes.</t>
  </si>
  <si>
    <t>El profesional asignado por el jefe de la dependencia, cada vez que se vinculan profesionales al equipo de asistencia técnica de la  Dirección para la Gestión del Desarrollo Local, realiza sesiones de actualización y/o entrenamiento al puesto de trabajo, de acuerdo con lo establecido en el documento  "GCO-GTH-IN004 Instrucciones para el entrenamiento en puesto de trabajo", en caso de no desarrollarse las sesiones, el profesional a cargo del área asistencia técnica efectua retrolimentación sobre los productos entregados, como evidencia de la ejecución del control quedan los registros de entrenamiento y capacitación - GCO-GTH-F029 formato entrenamiento puesto de trabajo.</t>
  </si>
  <si>
    <t>El profesional encargado del equipo de asistencia técnica de la Dirección para la Gestión del Desarrollo Local, cada vez que exista una solicitud de trámite de estudios previos por parte de FDL diligencia, monitorea y controla el estado de éste en la matriz de control, en caso de no encontrar las solicitudes, actualiza la matriz con la solicitud faltante, como evidencia de la ejecución de este control, es la matriz de trámites de solicitudes - GET-AGL-F008 Formato matriz de seguimiento asistencia técnica FDL.</t>
  </si>
  <si>
    <t>Poco tiempo disponible de los servidores públicos para los procesos de capacitación.</t>
  </si>
  <si>
    <t>Deficiencia en las convocatorias a los servidores públicos y/o temáticas poco pertinentes para atender las necesidades de capacitación de los servidores públicos</t>
  </si>
  <si>
    <t>Posibilidad de afectación reputacional por  baja participación de los servidores públicos en los eventos organizados por la Escuela de Gobierno Local.</t>
  </si>
  <si>
    <t>El profesional encargado de la Escuela de Gobierno Local -EGL,  mensualmente realiza el seguimiento a las convocatorias, la pertinencia de los temas a presentar y la logítica de cada uno de los eventos de capacitación y formación programados por la EGL, en caso de incumplimiento el equipo de profesionales generarán las alertas para la toma de decisiones que permita evitar la materialización del riesgo. Como evidencia quedan las actas de las reuniones de seguimiento y los informes de asistencia.</t>
  </si>
  <si>
    <t>Se realiza actualización de matriz de riesgos de gestión de acuerdo con los lineamientos establecidos en el manual de gestión del riesgo PLE-PIN-M001 versión 6. Se realizó a través de mesa de trabajo a la que asistió el promotor de mejora con el acompañamiento técnico del grupo de riesgos de la Oficina Asesora de Planeación. Se aprobó bajo caso HOLA N. 242141</t>
  </si>
  <si>
    <t>Bajo nivel de articulación con los equipos que consolidan la información y se entregan al Centro de Gobierno Local</t>
  </si>
  <si>
    <t>Publicación tardía o incompleta de la información que se expresa por medio de los tableros de datos y los servicios de analítica del Portal Web del Centro de Gobierno Local.</t>
  </si>
  <si>
    <t>El profesional encargado del Portal Web del Centro de Gobierno Local registra los cambios mensuales que se hacen dentro del Portal Web con el fin de monitorear los tableros que se deben actualizar, a fin de recibir información completa, actualizada y consistente antes de su publicación. En caso de incumplimiento el Web Máster genera las alertas y de no atenderse la solicitud, baja el tablero del Portal Web. Como evidencia queda la Ficha Técnica de Visualización de Datos o Tableros de Control GCN-F013 de control de cambios y correos de alerta del Web Máster cuando aplique</t>
  </si>
  <si>
    <t>Deficiencias en el seguimiento a la implementación del Modelo de Gestión Local vigente</t>
  </si>
  <si>
    <t>Posibilidad de afectación reputacional por incumplimiento en la implementación del plan de acción del Modelo de Gestión Local vigente.</t>
  </si>
  <si>
    <t>Posibilidad de afectación reputacional por publicación de información incompleta, desactualizada o inconsistente en el Portal Web del Centrol de Gobierno Local.</t>
  </si>
  <si>
    <t>El profesional designado por la Subsecretaría de Gestión Local, efectúa monitoreo y seguimiento a la implementación del modelo de gestión local vigente, a través del tablero de control que actualiza cada mes de acuerdo con los avances reportados por las dependencias responsables de las actividades. En caso de no darse cumplimiento el Subsecretario de Gestión Local o su delegado en  reuniones de seguimiento y control  solicita su cumplimiento, como evidencia de la ejecución del control quedan el tablero de control y  la evidencia de  reunión.</t>
  </si>
  <si>
    <t>Se realiza actualización de matriz de riesgos de gestión de acuerdo con los lineamientos establecidos en el manual de gestión del riesgo PLE-PIN-M001 versión 9. Se realizó a través de mesa de trabajo a la que asistió el promotor de mejora con el acompañamiento técnico del grupo de riesgos de la Oficina Asesora de Planeación. Se aprobó bajo caso HOLA N. 189289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</si>
</sst>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8"/>
      <color indexed="60"/>
      <name val="Arial"/>
      <family val="2"/>
    </font>
    <font>
      <b/>
      <sz val="48"/>
      <color indexed="60"/>
      <name val="Arial"/>
      <family val="2"/>
    </font>
    <font>
      <b/>
      <sz val="10"/>
      <name val="Arial"/>
      <family val="2"/>
    </font>
    <font>
      <b/>
      <sz val="12"/>
      <color indexed="16"/>
      <name val="Arial"/>
      <family val="2"/>
    </font>
    <font>
      <b/>
      <sz val="12"/>
      <color rgb="FFA6A6A6"/>
      <name val="Titillium Web"/>
    </font>
    <font>
      <b/>
      <sz val="20"/>
      <color rgb="FFC00000"/>
      <name val="Arial Narrow"/>
      <family val="2"/>
    </font>
    <font>
      <sz val="11"/>
      <color rgb="FF000000"/>
      <name val="Calibri"/>
      <family val="2"/>
      <scheme val="minor"/>
    </font>
    <font>
      <b/>
      <sz val="48"/>
      <color rgb="FF993300"/>
      <name val="Arial"/>
      <family val="2"/>
    </font>
    <font>
      <b/>
      <sz val="18"/>
      <name val="Arial"/>
      <family val="2"/>
    </font>
    <font>
      <b/>
      <sz val="12"/>
      <name val="Arial"/>
      <family val="2"/>
    </font>
    <font>
      <sz val="10"/>
      <color rgb="FF000000"/>
      <name val="Arial"/>
      <family val="2"/>
    </font>
    <font>
      <sz val="12"/>
      <name val="Arial"/>
      <family val="2"/>
    </font>
    <font>
      <b/>
      <sz val="11"/>
      <color rgb="FF800000"/>
      <name val="Arial"/>
      <family val="2"/>
    </font>
    <font>
      <sz val="11"/>
      <color rgb="FF000000"/>
      <name val="Arial"/>
      <family val="2"/>
    </font>
    <font>
      <b/>
      <sz val="11"/>
      <color rgb="FF000000"/>
      <name val="Arial"/>
      <family val="2"/>
    </font>
    <font>
      <sz val="10"/>
      <color rgb="FFFFFFFF"/>
      <name val="Arial"/>
      <family val="2"/>
    </font>
    <font>
      <b/>
      <sz val="12"/>
      <color rgb="FFFF0000"/>
      <name val="Arial"/>
      <family val="2"/>
    </font>
    <font>
      <b/>
      <sz val="9"/>
      <color rgb="FFFFFFFF"/>
      <name val="Arial"/>
      <family val="2"/>
    </font>
    <font>
      <b/>
      <sz val="11"/>
      <name val="Arial"/>
      <family val="2"/>
    </font>
    <font>
      <b/>
      <i/>
      <sz val="14"/>
      <color rgb="FFA6A6A6"/>
      <name val="Arial"/>
      <family val="2"/>
    </font>
    <font>
      <b/>
      <sz val="28"/>
      <color rgb="FF993300"/>
      <name val="Arial"/>
      <family val="2"/>
    </font>
    <font>
      <sz val="12"/>
      <color theme="1"/>
      <name val="Garamond"/>
      <family val="1"/>
    </font>
    <font>
      <sz val="12"/>
      <color rgb="FF000000"/>
      <name val="Garamond"/>
      <family val="1"/>
    </font>
  </fonts>
  <fills count="2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0"/>
        <bgColor rgb="FF000000"/>
      </patternFill>
    </fill>
    <fill>
      <patternFill patternType="solid">
        <fgColor rgb="FFB8CCE4"/>
        <bgColor indexed="64"/>
      </patternFill>
    </fill>
    <fill>
      <patternFill patternType="solid">
        <fgColor rgb="FFDBE5F1"/>
        <bgColor indexed="64"/>
      </patternFill>
    </fill>
    <fill>
      <patternFill patternType="solid">
        <fgColor rgb="FFFF9900"/>
        <bgColor indexed="64"/>
      </patternFill>
    </fill>
  </fills>
  <borders count="9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rgb="FFFFFFFF"/>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right/>
      <top style="medium">
        <color rgb="FF4F81BD"/>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diagonal/>
    </border>
    <border>
      <left/>
      <right style="medium">
        <color rgb="FF4F81BD"/>
      </right>
      <top/>
      <bottom style="medium">
        <color rgb="FF4F81BD"/>
      </bottom>
      <diagonal/>
    </border>
    <border>
      <left/>
      <right style="medium">
        <color rgb="FF4F81BD"/>
      </right>
      <top/>
      <bottom/>
      <diagonal/>
    </border>
    <border>
      <left style="medium">
        <color rgb="FF4F81BD"/>
      </left>
      <right/>
      <top style="medium">
        <color rgb="FF4F81BD"/>
      </top>
      <bottom style="medium">
        <color rgb="FF4F81BD"/>
      </bottom>
      <diagonal/>
    </border>
    <border>
      <left style="medium">
        <color rgb="FF4F81BD"/>
      </left>
      <right style="medium">
        <color rgb="FF4F81BD"/>
      </right>
      <top style="medium">
        <color rgb="FF4F81BD"/>
      </top>
      <bottom/>
      <diagonal/>
    </border>
    <border>
      <left/>
      <right style="medium">
        <color rgb="FF4F81BD"/>
      </right>
      <top style="medium">
        <color rgb="FF4F81BD"/>
      </top>
      <bottom/>
      <diagonal/>
    </border>
    <border>
      <left/>
      <right/>
      <top style="medium">
        <color rgb="FF4F81BD"/>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4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3"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49" fontId="58" fillId="16" borderId="0" xfId="0" applyNumberFormat="1" applyFont="1" applyFill="1" applyAlignment="1" applyProtection="1">
      <alignment horizontal="center" vertical="center" wrapText="1"/>
      <protection locked="0"/>
    </xf>
    <xf numFmtId="0" fontId="60" fillId="18" borderId="33" xfId="0" applyFont="1" applyFill="1" applyBorder="1" applyAlignment="1" applyProtection="1">
      <alignment horizontal="center" vertical="center" wrapText="1"/>
      <protection locked="0"/>
    </xf>
    <xf numFmtId="0" fontId="61" fillId="0" borderId="33" xfId="0" applyFont="1" applyBorder="1" applyAlignment="1">
      <alignment horizontal="left" vertical="top" wrapText="1"/>
    </xf>
    <xf numFmtId="0" fontId="61" fillId="0" borderId="38" xfId="0" applyFont="1" applyBorder="1" applyAlignment="1">
      <alignment horizontal="left" vertical="top" wrapText="1"/>
    </xf>
    <xf numFmtId="49" fontId="65" fillId="19" borderId="0" xfId="0" applyNumberFormat="1" applyFont="1" applyFill="1" applyAlignment="1" applyProtection="1">
      <alignment vertical="center" wrapText="1"/>
      <protection locked="0"/>
    </xf>
    <xf numFmtId="0" fontId="63" fillId="19" borderId="0" xfId="0" applyFont="1" applyFill="1" applyProtection="1">
      <protection locked="0"/>
    </xf>
    <xf numFmtId="0" fontId="66" fillId="19" borderId="0" xfId="0" applyFont="1" applyFill="1" applyAlignment="1" applyProtection="1">
      <alignment horizontal="left" vertical="center" wrapText="1"/>
      <protection locked="0"/>
    </xf>
    <xf numFmtId="0" fontId="67" fillId="19" borderId="0" xfId="0" applyFont="1" applyFill="1" applyAlignment="1" applyProtection="1">
      <alignment vertical="center" wrapText="1"/>
      <protection locked="0"/>
    </xf>
    <xf numFmtId="0" fontId="67" fillId="19" borderId="0" xfId="0" applyFont="1" applyFill="1" applyProtection="1">
      <protection locked="0"/>
    </xf>
    <xf numFmtId="0" fontId="67" fillId="19" borderId="0" xfId="0" applyFont="1" applyFill="1" applyAlignment="1" applyProtection="1">
      <alignment horizontal="center"/>
      <protection locked="0"/>
    </xf>
    <xf numFmtId="0" fontId="63" fillId="19" borderId="0" xfId="0" applyFont="1" applyFill="1" applyAlignment="1" applyProtection="1">
      <alignment horizontal="center"/>
      <protection locked="0"/>
    </xf>
    <xf numFmtId="0" fontId="68" fillId="0" borderId="69" xfId="0" applyFont="1" applyBorder="1" applyAlignment="1" applyProtection="1">
      <alignment horizontal="right"/>
      <protection locked="0"/>
    </xf>
    <xf numFmtId="0" fontId="70" fillId="19" borderId="0" xfId="0" applyFont="1" applyFill="1" applyAlignment="1" applyProtection="1">
      <alignment horizontal="center" vertical="center" wrapText="1"/>
      <protection locked="0"/>
    </xf>
    <xf numFmtId="14" fontId="68" fillId="0" borderId="69" xfId="0" applyNumberFormat="1" applyFont="1" applyBorder="1" applyAlignment="1" applyProtection="1">
      <alignment horizontal="right"/>
      <protection locked="0"/>
    </xf>
    <xf numFmtId="0" fontId="70" fillId="19" borderId="0" xfId="0" applyFont="1" applyFill="1" applyAlignment="1" applyProtection="1">
      <alignment vertical="center" wrapText="1"/>
      <protection locked="0"/>
    </xf>
    <xf numFmtId="0" fontId="71" fillId="19" borderId="0" xfId="0" applyFont="1" applyFill="1" applyAlignment="1" applyProtection="1">
      <alignment vertical="center" wrapText="1"/>
      <protection locked="0"/>
    </xf>
    <xf numFmtId="0" fontId="66" fillId="19" borderId="0" xfId="0" applyFont="1" applyFill="1" applyAlignment="1" applyProtection="1">
      <alignment horizontal="center" vertical="center" wrapText="1"/>
      <protection locked="0"/>
    </xf>
    <xf numFmtId="0" fontId="63" fillId="19" borderId="0" xfId="0" applyFont="1" applyFill="1" applyAlignment="1" applyProtection="1">
      <alignment horizontal="center" vertical="center"/>
      <protection locked="0"/>
    </xf>
    <xf numFmtId="0" fontId="67" fillId="19" borderId="0" xfId="0" applyFont="1" applyFill="1" applyAlignment="1" applyProtection="1">
      <alignment horizontal="center" vertical="center" wrapText="1"/>
      <protection locked="0"/>
    </xf>
    <xf numFmtId="0" fontId="67" fillId="19" borderId="0" xfId="0" applyFont="1" applyFill="1" applyAlignment="1" applyProtection="1">
      <alignment horizontal="center" vertical="center"/>
      <protection locked="0"/>
    </xf>
    <xf numFmtId="0" fontId="72" fillId="19" borderId="0" xfId="0" applyFont="1" applyFill="1" applyAlignment="1" applyProtection="1">
      <alignment horizontal="center" vertical="center"/>
      <protection locked="0"/>
    </xf>
    <xf numFmtId="2" fontId="68" fillId="19" borderId="0" xfId="0" applyNumberFormat="1" applyFont="1" applyFill="1" applyAlignment="1" applyProtection="1">
      <alignment horizontal="center" vertical="center" wrapText="1"/>
      <protection locked="0"/>
    </xf>
    <xf numFmtId="0" fontId="72" fillId="19" borderId="0" xfId="0" applyFont="1" applyFill="1" applyProtection="1">
      <protection locked="0"/>
    </xf>
    <xf numFmtId="0" fontId="72" fillId="19" borderId="0" xfId="0" applyFont="1" applyFill="1" applyAlignment="1" applyProtection="1">
      <alignment horizontal="center"/>
      <protection locked="0"/>
    </xf>
    <xf numFmtId="0" fontId="73" fillId="19" borderId="0" xfId="0" applyFont="1" applyFill="1" applyAlignment="1" applyProtection="1">
      <alignment horizontal="left" vertical="center"/>
      <protection locked="0"/>
    </xf>
    <xf numFmtId="165" fontId="66" fillId="19" borderId="0" xfId="0" applyNumberFormat="1" applyFont="1" applyFill="1" applyAlignment="1" applyProtection="1">
      <alignment horizontal="center" vertical="center"/>
      <protection locked="0"/>
    </xf>
    <xf numFmtId="0" fontId="68" fillId="19" borderId="0" xfId="0" applyFont="1" applyFill="1" applyAlignment="1" applyProtection="1">
      <alignment horizontal="left" vertical="center" wrapText="1"/>
      <protection locked="0"/>
    </xf>
    <xf numFmtId="0" fontId="68" fillId="19" borderId="0" xfId="0" applyFont="1" applyFill="1" applyAlignment="1" applyProtection="1">
      <alignment vertical="justify" wrapText="1"/>
      <protection locked="0"/>
    </xf>
    <xf numFmtId="0" fontId="63" fillId="0" borderId="0" xfId="0" applyFont="1" applyProtection="1">
      <protection locked="0"/>
    </xf>
    <xf numFmtId="0" fontId="48" fillId="19" borderId="0" xfId="0" applyFont="1" applyFill="1" applyAlignment="1" applyProtection="1">
      <alignment vertical="center" wrapText="1"/>
      <protection locked="0"/>
    </xf>
    <xf numFmtId="0" fontId="74" fillId="20" borderId="0" xfId="0" applyFont="1" applyFill="1" applyAlignment="1" applyProtection="1">
      <alignment horizontal="center" vertical="center" wrapText="1"/>
      <protection locked="0"/>
    </xf>
    <xf numFmtId="2" fontId="68" fillId="20" borderId="0" xfId="0" applyNumberFormat="1" applyFont="1" applyFill="1" applyAlignment="1" applyProtection="1">
      <alignment horizontal="center" vertical="center" wrapText="1"/>
      <protection hidden="1"/>
    </xf>
    <xf numFmtId="0" fontId="75" fillId="20" borderId="0" xfId="0" applyFont="1" applyFill="1" applyAlignment="1" applyProtection="1">
      <alignment horizontal="center" vertical="center" wrapText="1"/>
      <protection hidden="1"/>
    </xf>
    <xf numFmtId="0" fontId="68" fillId="20" borderId="0" xfId="0" applyFont="1" applyFill="1" applyAlignment="1" applyProtection="1">
      <alignment horizontal="center" vertical="justify" wrapText="1"/>
      <protection locked="0"/>
    </xf>
    <xf numFmtId="0" fontId="68" fillId="20" borderId="0" xfId="0" applyFont="1" applyFill="1" applyAlignment="1" applyProtection="1">
      <alignment vertical="justify" wrapText="1"/>
      <protection locked="0"/>
    </xf>
    <xf numFmtId="0" fontId="70" fillId="19" borderId="69" xfId="0" applyFont="1" applyFill="1" applyBorder="1" applyAlignment="1" applyProtection="1">
      <alignment vertical="center" wrapText="1"/>
      <protection locked="0"/>
    </xf>
    <xf numFmtId="0" fontId="69" fillId="0" borderId="33" xfId="0" applyFont="1" applyBorder="1" applyAlignment="1" applyProtection="1">
      <alignment horizontal="center" vertical="center" wrapText="1"/>
      <protection locked="0"/>
    </xf>
    <xf numFmtId="0" fontId="69" fillId="19" borderId="0" xfId="0" applyFont="1" applyFill="1" applyAlignment="1" applyProtection="1">
      <alignment horizontal="right" wrapText="1"/>
      <protection locked="0"/>
    </xf>
    <xf numFmtId="49" fontId="64" fillId="19" borderId="0" xfId="0" applyNumberFormat="1" applyFont="1" applyFill="1" applyAlignment="1" applyProtection="1">
      <alignment vertical="center" wrapText="1"/>
      <protection locked="0"/>
    </xf>
    <xf numFmtId="0" fontId="37" fillId="0" borderId="0" xfId="0" applyFont="1" applyAlignment="1">
      <alignment vertical="center"/>
    </xf>
    <xf numFmtId="0" fontId="78" fillId="21" borderId="81" xfId="0" applyFont="1" applyFill="1" applyBorder="1" applyAlignment="1">
      <alignment horizontal="center" vertical="center" wrapText="1"/>
    </xf>
    <xf numFmtId="0" fontId="79" fillId="21" borderId="82" xfId="0" applyFont="1" applyFill="1" applyBorder="1" applyAlignment="1">
      <alignment horizontal="center" vertical="center" wrapText="1"/>
    </xf>
    <xf numFmtId="0" fontId="79" fillId="22" borderId="87" xfId="0" applyFont="1" applyFill="1" applyBorder="1" applyAlignment="1">
      <alignment horizontal="center" vertical="center" wrapText="1"/>
    </xf>
    <xf numFmtId="0" fontId="78" fillId="0" borderId="87" xfId="0" applyFont="1" applyBorder="1" applyAlignment="1">
      <alignment horizontal="center" vertical="center" wrapText="1"/>
    </xf>
    <xf numFmtId="0" fontId="79" fillId="22" borderId="86" xfId="0" applyFont="1" applyFill="1" applyBorder="1" applyAlignment="1">
      <alignment horizontal="center" vertical="center" wrapText="1"/>
    </xf>
    <xf numFmtId="0" fontId="78" fillId="0" borderId="86" xfId="0" applyFont="1" applyBorder="1" applyAlignment="1">
      <alignment horizontal="center" vertical="center" wrapText="1"/>
    </xf>
    <xf numFmtId="0" fontId="37" fillId="0" borderId="86" xfId="0" applyFont="1" applyBorder="1" applyAlignment="1">
      <alignment vertical="center" wrapText="1"/>
    </xf>
    <xf numFmtId="0" fontId="37" fillId="0" borderId="86" xfId="0" applyFont="1" applyBorder="1" applyAlignment="1">
      <alignment horizontal="center" vertical="center" wrapText="1"/>
    </xf>
    <xf numFmtId="0" fontId="79" fillId="22" borderId="90" xfId="0" applyFont="1" applyFill="1" applyBorder="1" applyAlignment="1">
      <alignment horizontal="center" vertical="center" wrapText="1"/>
    </xf>
    <xf numFmtId="0" fontId="78" fillId="0" borderId="90" xfId="0" applyFont="1" applyBorder="1" applyAlignment="1">
      <alignment horizontal="center" vertical="center" wrapText="1"/>
    </xf>
    <xf numFmtId="164" fontId="1" fillId="0" borderId="2" xfId="1" applyNumberFormat="1" applyFont="1" applyBorder="1" applyAlignment="1">
      <alignment horizontal="center" vertical="center"/>
    </xf>
    <xf numFmtId="0" fontId="37" fillId="0" borderId="33" xfId="0" applyFont="1" applyBorder="1" applyAlignment="1">
      <alignment horizontal="center" vertical="center"/>
    </xf>
    <xf numFmtId="0" fontId="37" fillId="5" borderId="33" xfId="0" applyFont="1" applyFill="1" applyBorder="1" applyAlignment="1">
      <alignment horizontal="center" vertical="center"/>
    </xf>
    <xf numFmtId="0" fontId="78" fillId="0" borderId="0" xfId="0" applyFont="1" applyAlignment="1">
      <alignment horizontal="center" vertical="center" wrapText="1"/>
    </xf>
    <xf numFmtId="0" fontId="37" fillId="23" borderId="33" xfId="0" applyFont="1" applyFill="1" applyBorder="1" applyAlignment="1">
      <alignment vertical="center"/>
    </xf>
    <xf numFmtId="0" fontId="78" fillId="0" borderId="91" xfId="0" applyFont="1" applyBorder="1" applyAlignment="1">
      <alignment horizontal="center" vertical="center" wrapText="1"/>
    </xf>
    <xf numFmtId="9" fontId="1" fillId="0" borderId="4"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4" xfId="0" applyFont="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1" fillId="0" borderId="4"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9" fontId="1" fillId="0" borderId="4" xfId="0" applyNumberFormat="1" applyFont="1" applyBorder="1" applyAlignment="1" applyProtection="1">
      <alignment horizontal="center" vertical="center" wrapText="1"/>
      <protection locked="0"/>
    </xf>
    <xf numFmtId="0" fontId="70" fillId="0" borderId="0" xfId="0" applyFont="1" applyAlignment="1" applyProtection="1">
      <alignment vertical="center" wrapText="1"/>
      <protection locked="0"/>
    </xf>
    <xf numFmtId="0" fontId="68" fillId="19" borderId="33" xfId="0" applyFont="1" applyFill="1" applyBorder="1" applyAlignment="1" applyProtection="1">
      <alignment horizontal="center" vertical="center" wrapText="1"/>
      <protection locked="0"/>
    </xf>
    <xf numFmtId="14" fontId="68" fillId="19" borderId="33" xfId="0" applyNumberFormat="1" applyFont="1" applyFill="1" applyBorder="1" applyAlignment="1" applyProtection="1">
      <alignment horizontal="center" vertical="center" wrapText="1"/>
      <protection locked="0"/>
    </xf>
    <xf numFmtId="0" fontId="61" fillId="0" borderId="75" xfId="0" applyFont="1" applyBorder="1" applyAlignment="1">
      <alignment vertical="center" wrapText="1"/>
    </xf>
    <xf numFmtId="0" fontId="61" fillId="0" borderId="38" xfId="0" applyFont="1" applyBorder="1" applyAlignment="1">
      <alignment horizontal="left" vertical="center" wrapText="1"/>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14" fontId="68" fillId="0" borderId="33" xfId="0" applyNumberFormat="1"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hidden="1"/>
    </xf>
    <xf numFmtId="9" fontId="2" fillId="0" borderId="4" xfId="0" applyNumberFormat="1" applyFont="1" applyBorder="1" applyAlignment="1" applyProtection="1">
      <alignment horizontal="center" vertical="center" wrapText="1"/>
      <protection locked="0"/>
    </xf>
    <xf numFmtId="9" fontId="2" fillId="0" borderId="4" xfId="0" applyNumberFormat="1" applyFont="1" applyBorder="1" applyAlignment="1" applyProtection="1">
      <alignment horizontal="center" vertical="top" wrapText="1"/>
      <protection hidden="1"/>
    </xf>
    <xf numFmtId="0" fontId="52" fillId="0" borderId="4" xfId="0" applyFont="1" applyBorder="1" applyAlignment="1" applyProtection="1">
      <alignment horizontal="center" vertical="center"/>
      <protection hidden="1"/>
    </xf>
    <xf numFmtId="0" fontId="2" fillId="0" borderId="2" xfId="0" applyFont="1" applyBorder="1" applyAlignment="1">
      <alignment horizontal="center" vertical="center"/>
    </xf>
    <xf numFmtId="0" fontId="50"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0" borderId="2" xfId="0" applyNumberFormat="1" applyFont="1" applyBorder="1" applyAlignment="1" applyProtection="1">
      <alignment horizontal="center" vertical="center"/>
      <protection hidden="1"/>
    </xf>
    <xf numFmtId="164" fontId="2" fillId="0" borderId="2" xfId="1" applyNumberFormat="1" applyFont="1" applyBorder="1" applyAlignment="1">
      <alignment horizontal="center" vertical="center"/>
    </xf>
    <xf numFmtId="0" fontId="52" fillId="0" borderId="2" xfId="0" applyFont="1" applyBorder="1" applyAlignment="1" applyProtection="1">
      <alignment horizontal="center" vertical="center" textRotation="90" wrapText="1"/>
      <protection hidden="1"/>
    </xf>
    <xf numFmtId="9" fontId="2"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2" fillId="0" borderId="4" xfId="0" applyFont="1" applyBorder="1" applyAlignment="1" applyProtection="1">
      <alignment horizontal="center" vertical="center" textRotation="90"/>
      <protection locked="0"/>
    </xf>
    <xf numFmtId="0" fontId="2" fillId="0" borderId="2" xfId="0" applyFont="1" applyBorder="1" applyAlignment="1" applyProtection="1">
      <alignment horizontal="center" vertical="top" wrapText="1"/>
      <protection locked="0"/>
    </xf>
    <xf numFmtId="0" fontId="2" fillId="0" borderId="2" xfId="0" applyFont="1" applyBorder="1" applyAlignment="1" applyProtection="1">
      <alignment horizontal="center" vertical="top"/>
      <protection locked="0"/>
    </xf>
    <xf numFmtId="14" fontId="2" fillId="0" borderId="2" xfId="0" applyNumberFormat="1" applyFont="1" applyBorder="1" applyAlignment="1" applyProtection="1">
      <alignment horizontal="center" vertical="top"/>
      <protection locked="0"/>
    </xf>
    <xf numFmtId="0" fontId="2" fillId="3" borderId="0" xfId="0" applyFont="1" applyFill="1"/>
    <xf numFmtId="0" fontId="2" fillId="0" borderId="0" xfId="0" applyFont="1"/>
    <xf numFmtId="0" fontId="50" fillId="0" borderId="2" xfId="0" applyFont="1" applyBorder="1" applyAlignment="1" applyProtection="1">
      <alignment horizontal="justify" vertical="center" wrapText="1"/>
      <protection locked="0"/>
    </xf>
    <xf numFmtId="0" fontId="55" fillId="3" borderId="64" xfId="2" applyFont="1" applyFill="1" applyBorder="1" applyAlignment="1">
      <alignment horizontal="justify" vertical="center" wrapText="1"/>
    </xf>
    <xf numFmtId="0" fontId="55" fillId="3" borderId="65" xfId="2" applyFont="1" applyFill="1" applyBorder="1" applyAlignment="1">
      <alignment horizontal="justify" vertical="center"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4" fillId="3" borderId="58" xfId="3" applyFont="1" applyFill="1" applyBorder="1" applyAlignment="1">
      <alignment horizontal="left" vertical="top" wrapText="1" readingOrder="1"/>
    </xf>
    <xf numFmtId="0" fontId="54" fillId="3" borderId="59" xfId="3" applyFont="1" applyFill="1" applyBorder="1" applyAlignment="1">
      <alignment horizontal="left" vertical="top" wrapText="1" readingOrder="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2" xfId="0" applyFont="1" applyFill="1" applyBorder="1" applyAlignment="1">
      <alignment horizontal="left" vertical="center" wrapText="1"/>
    </xf>
    <xf numFmtId="0" fontId="54"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4" fillId="3" borderId="73" xfId="0" applyFont="1" applyFill="1" applyBorder="1" applyAlignment="1">
      <alignment horizontal="left" vertical="center" wrapText="1"/>
    </xf>
    <xf numFmtId="0" fontId="54" fillId="3" borderId="74" xfId="0" applyFont="1" applyFill="1" applyBorder="1" applyAlignment="1">
      <alignment horizontal="left" vertical="center" wrapText="1"/>
    </xf>
    <xf numFmtId="0" fontId="55" fillId="3" borderId="66" xfId="0" applyFont="1" applyFill="1" applyBorder="1" applyAlignment="1">
      <alignment horizontal="justify" vertical="center" wrapText="1"/>
    </xf>
    <xf numFmtId="0" fontId="55" fillId="3" borderId="67" xfId="0" applyFont="1" applyFill="1" applyBorder="1" applyAlignment="1">
      <alignment horizontal="justify" vertical="center" wrapText="1"/>
    </xf>
    <xf numFmtId="0" fontId="62" fillId="3" borderId="48" xfId="2" applyFont="1" applyFill="1" applyBorder="1" applyAlignment="1">
      <alignment horizontal="center" vertical="center" wrapText="1"/>
    </xf>
    <xf numFmtId="0" fontId="62" fillId="3" borderId="49" xfId="2" applyFont="1" applyFill="1" applyBorder="1" applyAlignment="1">
      <alignment horizontal="center" vertical="center" wrapText="1"/>
    </xf>
    <xf numFmtId="0" fontId="62" fillId="3"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1" fillId="3" borderId="51" xfId="2" quotePrefix="1" applyFont="1" applyFill="1" applyBorder="1" applyAlignment="1">
      <alignment horizontal="left" vertical="top" wrapText="1"/>
    </xf>
    <xf numFmtId="0" fontId="52" fillId="3" borderId="52" xfId="2" quotePrefix="1" applyFont="1" applyFill="1" applyBorder="1" applyAlignment="1">
      <alignment horizontal="left" vertical="top" wrapText="1"/>
    </xf>
    <xf numFmtId="0" fontId="52"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4" fillId="14" borderId="54" xfId="3" applyFont="1" applyFill="1" applyBorder="1" applyAlignment="1">
      <alignment horizontal="center" vertical="center" wrapText="1"/>
    </xf>
    <xf numFmtId="0" fontId="54" fillId="14" borderId="55" xfId="3" applyFont="1" applyFill="1" applyBorder="1" applyAlignment="1">
      <alignment horizontal="center" vertical="center" wrapText="1"/>
    </xf>
    <xf numFmtId="0" fontId="54" fillId="14" borderId="56" xfId="2" applyFont="1" applyFill="1" applyBorder="1" applyAlignment="1">
      <alignment horizontal="center" vertical="center"/>
    </xf>
    <xf numFmtId="0" fontId="54"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49" fontId="57" fillId="16" borderId="0" xfId="0" applyNumberFormat="1" applyFont="1" applyFill="1" applyAlignment="1" applyProtection="1">
      <alignment horizontal="right" vertical="center" wrapText="1"/>
      <protection locked="0"/>
    </xf>
    <xf numFmtId="0" fontId="61" fillId="0" borderId="92" xfId="0" applyFont="1" applyBorder="1" applyAlignment="1">
      <alignment horizontal="left" vertical="center" wrapText="1"/>
    </xf>
    <xf numFmtId="0" fontId="61" fillId="0" borderId="43" xfId="0" applyFont="1" applyBorder="1" applyAlignment="1">
      <alignment horizontal="left" vertical="center" wrapText="1"/>
    </xf>
    <xf numFmtId="0" fontId="61" fillId="0" borderId="93" xfId="0" applyFont="1" applyBorder="1" applyAlignment="1">
      <alignment horizontal="left" vertical="center" wrapText="1"/>
    </xf>
    <xf numFmtId="0" fontId="59" fillId="17" borderId="75" xfId="0" applyFont="1" applyFill="1" applyBorder="1" applyAlignment="1">
      <alignment horizontal="center" vertical="center" wrapText="1"/>
    </xf>
    <xf numFmtId="0" fontId="59" fillId="17" borderId="76" xfId="0" applyFont="1" applyFill="1" applyBorder="1" applyAlignment="1">
      <alignment horizontal="center" vertical="center" wrapText="1"/>
    </xf>
    <xf numFmtId="0" fontId="59" fillId="17" borderId="34"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4" fillId="2" borderId="2" xfId="0" applyFont="1" applyFill="1" applyBorder="1" applyAlignment="1">
      <alignment horizontal="center"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1"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49" fontId="77" fillId="19" borderId="0" xfId="0" applyNumberFormat="1" applyFont="1" applyFill="1" applyAlignment="1" applyProtection="1">
      <alignment horizontal="center" vertical="center" wrapText="1"/>
      <protection locked="0"/>
    </xf>
    <xf numFmtId="2" fontId="68" fillId="20" borderId="0" xfId="0" applyNumberFormat="1" applyFont="1" applyFill="1" applyAlignment="1" applyProtection="1">
      <alignment horizontal="center" vertical="center" wrapText="1"/>
      <protection hidden="1"/>
    </xf>
    <xf numFmtId="0" fontId="68" fillId="20" borderId="0" xfId="0" applyFont="1" applyFill="1" applyAlignment="1" applyProtection="1">
      <alignment horizontal="center" vertical="justify" wrapText="1"/>
      <protection locked="0"/>
    </xf>
    <xf numFmtId="0" fontId="76" fillId="19" borderId="0" xfId="0" applyFont="1" applyFill="1" applyAlignment="1" applyProtection="1">
      <alignment horizontal="left" vertical="top"/>
      <protection locked="0"/>
    </xf>
    <xf numFmtId="0" fontId="69" fillId="0" borderId="77" xfId="0" applyFont="1" applyBorder="1" applyAlignment="1" applyProtection="1">
      <alignment horizontal="center" vertical="center" wrapText="1"/>
      <protection locked="0"/>
    </xf>
    <xf numFmtId="0" fontId="74" fillId="20" borderId="0" xfId="0" applyFont="1" applyFill="1" applyAlignment="1" applyProtection="1">
      <alignment horizontal="center" vertical="center" wrapText="1"/>
      <protection locked="0"/>
    </xf>
    <xf numFmtId="0" fontId="69" fillId="0" borderId="78" xfId="0" applyFont="1" applyBorder="1" applyAlignment="1" applyProtection="1">
      <alignment horizontal="center" vertical="center" wrapText="1"/>
      <protection locked="0"/>
    </xf>
    <xf numFmtId="0" fontId="69" fillId="0" borderId="79" xfId="0" applyFont="1" applyBorder="1" applyAlignment="1" applyProtection="1">
      <alignment horizontal="center" vertical="center" wrapText="1"/>
      <protection locked="0"/>
    </xf>
    <xf numFmtId="0" fontId="69" fillId="0" borderId="80" xfId="0" applyFont="1" applyBorder="1" applyAlignment="1" applyProtection="1">
      <alignment horizontal="center" vertical="center" wrapText="1"/>
      <protection locked="0"/>
    </xf>
    <xf numFmtId="0" fontId="68" fillId="19" borderId="78" xfId="0" applyFont="1" applyFill="1" applyBorder="1" applyAlignment="1" applyProtection="1">
      <alignment horizontal="left" vertical="center" wrapText="1"/>
      <protection locked="0"/>
    </xf>
    <xf numFmtId="0" fontId="68" fillId="19" borderId="79" xfId="0" applyFont="1" applyFill="1" applyBorder="1" applyAlignment="1" applyProtection="1">
      <alignment horizontal="left" vertical="center" wrapText="1"/>
      <protection locked="0"/>
    </xf>
    <xf numFmtId="0" fontId="68" fillId="19" borderId="80" xfId="0" applyFont="1" applyFill="1" applyBorder="1" applyAlignment="1" applyProtection="1">
      <alignment horizontal="left"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8" fillId="0" borderId="78" xfId="0" applyFont="1" applyBorder="1" applyAlignment="1" applyProtection="1">
      <alignment horizontal="left" vertical="center" wrapText="1"/>
      <protection locked="0"/>
    </xf>
    <xf numFmtId="0" fontId="68" fillId="0" borderId="79" xfId="0" applyFont="1" applyBorder="1" applyAlignment="1" applyProtection="1">
      <alignment horizontal="left" vertical="center" wrapText="1"/>
      <protection locked="0"/>
    </xf>
    <xf numFmtId="0" fontId="68" fillId="0" borderId="80" xfId="0" applyFont="1" applyBorder="1" applyAlignment="1" applyProtection="1">
      <alignment horizontal="left" vertical="center" wrapText="1"/>
      <protection locked="0"/>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79" fillId="22" borderId="89" xfId="0" applyFont="1" applyFill="1" applyBorder="1" applyAlignment="1">
      <alignment horizontal="center" vertical="center" wrapText="1"/>
    </xf>
    <xf numFmtId="0" fontId="79" fillId="22" borderId="84" xfId="0" applyFont="1" applyFill="1" applyBorder="1" applyAlignment="1">
      <alignment horizontal="center" vertical="center" wrapText="1"/>
    </xf>
    <xf numFmtId="0" fontId="78" fillId="0" borderId="89" xfId="0" applyFont="1" applyBorder="1" applyAlignment="1">
      <alignment horizontal="center" vertical="center" wrapText="1"/>
    </xf>
    <xf numFmtId="0" fontId="78" fillId="0" borderId="84" xfId="0" applyFont="1" applyBorder="1" applyAlignment="1">
      <alignment horizontal="center" vertical="center" wrapText="1"/>
    </xf>
    <xf numFmtId="0" fontId="79" fillId="21" borderId="88" xfId="0" applyFont="1" applyFill="1" applyBorder="1" applyAlignment="1">
      <alignment horizontal="center" vertical="center" wrapText="1"/>
    </xf>
    <xf numFmtId="0" fontId="79" fillId="21" borderId="83" xfId="0" applyFont="1" applyFill="1" applyBorder="1" applyAlignment="1">
      <alignment horizontal="center" vertical="center" wrapText="1"/>
    </xf>
    <xf numFmtId="0" fontId="79" fillId="21" borderId="82" xfId="0" applyFont="1" applyFill="1" applyBorder="1" applyAlignment="1">
      <alignment horizontal="center" vertical="center" wrapText="1"/>
    </xf>
    <xf numFmtId="0" fontId="79" fillId="22" borderId="85" xfId="0" applyFont="1" applyFill="1" applyBorder="1" applyAlignment="1">
      <alignment horizontal="center" vertical="center" wrapText="1"/>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42">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115454</xdr:colOff>
      <xdr:row>11</xdr:row>
      <xdr:rowOff>242454</xdr:rowOff>
    </xdr:from>
    <xdr:to>
      <xdr:col>2</xdr:col>
      <xdr:colOff>735445</xdr:colOff>
      <xdr:row>11</xdr:row>
      <xdr:rowOff>1013978</xdr:rowOff>
    </xdr:to>
    <xdr:pic>
      <xdr:nvPicPr>
        <xdr:cNvPr id="2" name="Imagen 135">
          <a:extLst>
            <a:ext uri="{FF2B5EF4-FFF2-40B4-BE49-F238E27FC236}">
              <a16:creationId xmlns:a16="http://schemas.microsoft.com/office/drawing/2014/main" id="{8A041215-B7E0-234C-BC46-44CB965B0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818" y="923636"/>
          <a:ext cx="2501900"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495300</xdr:colOff>
      <xdr:row>2</xdr:row>
      <xdr:rowOff>9526</xdr:rowOff>
    </xdr:from>
    <xdr:to>
      <xdr:col>2</xdr:col>
      <xdr:colOff>2171700</xdr:colOff>
      <xdr:row>3</xdr:row>
      <xdr:rowOff>590550</xdr:rowOff>
    </xdr:to>
    <xdr:pic>
      <xdr:nvPicPr>
        <xdr:cNvPr id="2" name="Imagen 135">
          <a:extLst>
            <a:ext uri="{FF2B5EF4-FFF2-40B4-BE49-F238E27FC236}">
              <a16:creationId xmlns:a16="http://schemas.microsoft.com/office/drawing/2014/main" id="{0446CEC4-8D36-6247-8AE3-2F67F317B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800" y="390526"/>
          <a:ext cx="2501900"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25400</xdr:colOff>
      <xdr:row>13</xdr:row>
      <xdr:rowOff>0</xdr:rowOff>
    </xdr:from>
    <xdr:to>
      <xdr:col>16</xdr:col>
      <xdr:colOff>320675</xdr:colOff>
      <xdr:row>13</xdr:row>
      <xdr:rowOff>307181</xdr:rowOff>
    </xdr:to>
    <xdr:sp macro="" textlink="">
      <xdr:nvSpPr>
        <xdr:cNvPr id="2" name="AutoShape 38" descr="Resultado de imagen para boton agregar icono">
          <a:extLst>
            <a:ext uri="{FF2B5EF4-FFF2-40B4-BE49-F238E27FC236}">
              <a16:creationId xmlns:a16="http://schemas.microsoft.com/office/drawing/2014/main" id="{5CCAC519-8FCC-4ECD-BBC1-191D238B5548}"/>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13</xdr:row>
      <xdr:rowOff>0</xdr:rowOff>
    </xdr:from>
    <xdr:to>
      <xdr:col>16</xdr:col>
      <xdr:colOff>320675</xdr:colOff>
      <xdr:row>13</xdr:row>
      <xdr:rowOff>307181</xdr:rowOff>
    </xdr:to>
    <xdr:sp macro="" textlink="">
      <xdr:nvSpPr>
        <xdr:cNvPr id="3" name="AutoShape 39" descr="Resultado de imagen para boton agregar icono">
          <a:extLst>
            <a:ext uri="{FF2B5EF4-FFF2-40B4-BE49-F238E27FC236}">
              <a16:creationId xmlns:a16="http://schemas.microsoft.com/office/drawing/2014/main" id="{212298C9-1C90-422A-B33A-5B9110C76EB4}"/>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13</xdr:row>
      <xdr:rowOff>0</xdr:rowOff>
    </xdr:from>
    <xdr:to>
      <xdr:col>16</xdr:col>
      <xdr:colOff>320675</xdr:colOff>
      <xdr:row>13</xdr:row>
      <xdr:rowOff>307181</xdr:rowOff>
    </xdr:to>
    <xdr:sp macro="" textlink="">
      <xdr:nvSpPr>
        <xdr:cNvPr id="4" name="AutoShape 40" descr="Resultado de imagen para boton agregar icono">
          <a:extLst>
            <a:ext uri="{FF2B5EF4-FFF2-40B4-BE49-F238E27FC236}">
              <a16:creationId xmlns:a16="http://schemas.microsoft.com/office/drawing/2014/main" id="{B5279E58-EA1A-4043-A3F3-3775086B4600}"/>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13</xdr:row>
      <xdr:rowOff>0</xdr:rowOff>
    </xdr:from>
    <xdr:to>
      <xdr:col>16</xdr:col>
      <xdr:colOff>320675</xdr:colOff>
      <xdr:row>13</xdr:row>
      <xdr:rowOff>307181</xdr:rowOff>
    </xdr:to>
    <xdr:sp macro="" textlink="">
      <xdr:nvSpPr>
        <xdr:cNvPr id="5" name="AutoShape 42" descr="Z">
          <a:extLst>
            <a:ext uri="{FF2B5EF4-FFF2-40B4-BE49-F238E27FC236}">
              <a16:creationId xmlns:a16="http://schemas.microsoft.com/office/drawing/2014/main" id="{72D5F597-052C-4F5A-9378-56A3A52B91F6}"/>
            </a:ext>
          </a:extLst>
        </xdr:cNvPr>
        <xdr:cNvSpPr>
          <a:spLocks noChangeAspect="1" noChangeArrowheads="1"/>
        </xdr:cNvSpPr>
      </xdr:nvSpPr>
      <xdr:spPr bwMode="auto">
        <a:xfrm>
          <a:off x="16042105" y="603807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8</xdr:row>
      <xdr:rowOff>127000</xdr:rowOff>
    </xdr:from>
    <xdr:to>
      <xdr:col>16</xdr:col>
      <xdr:colOff>25400</xdr:colOff>
      <xdr:row>8</xdr:row>
      <xdr:rowOff>409720</xdr:rowOff>
    </xdr:to>
    <xdr:sp macro="" textlink="">
      <xdr:nvSpPr>
        <xdr:cNvPr id="6" name="Rectangle 53">
          <a:extLst>
            <a:ext uri="{FF2B5EF4-FFF2-40B4-BE49-F238E27FC236}">
              <a16:creationId xmlns:a16="http://schemas.microsoft.com/office/drawing/2014/main" id="{30F52F8A-3743-471F-A917-088E199F2384}"/>
            </a:ext>
          </a:extLst>
        </xdr:cNvPr>
        <xdr:cNvSpPr>
          <a:spLocks noChangeArrowheads="1"/>
        </xdr:cNvSpPr>
      </xdr:nvSpPr>
      <xdr:spPr bwMode="auto">
        <a:xfrm>
          <a:off x="16042105" y="5760843"/>
          <a:ext cx="0" cy="276225"/>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twoCellAnchor>
  <xdr:twoCellAnchor editAs="oneCell">
    <xdr:from>
      <xdr:col>0</xdr:col>
      <xdr:colOff>162791</xdr:colOff>
      <xdr:row>5</xdr:row>
      <xdr:rowOff>30018</xdr:rowOff>
    </xdr:from>
    <xdr:to>
      <xdr:col>31</xdr:col>
      <xdr:colOff>647411</xdr:colOff>
      <xdr:row>5</xdr:row>
      <xdr:rowOff>95373</xdr:rowOff>
    </xdr:to>
    <xdr:cxnSp macro="">
      <xdr:nvCxnSpPr>
        <xdr:cNvPr id="7" name="Conector recto 6">
          <a:extLst>
            <a:ext uri="{FF2B5EF4-FFF2-40B4-BE49-F238E27FC236}">
              <a16:creationId xmlns:a16="http://schemas.microsoft.com/office/drawing/2014/main" id="{FF79EB7A-1C4D-4552-9713-538E56CE04FB}"/>
            </a:ext>
          </a:extLst>
        </xdr:cNvPr>
        <xdr:cNvCxnSpPr/>
      </xdr:nvCxnSpPr>
      <xdr:spPr>
        <a:xfrm flipV="1">
          <a:off x="162791" y="2608118"/>
          <a:ext cx="35990645" cy="65355"/>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40409</xdr:colOff>
      <xdr:row>0</xdr:row>
      <xdr:rowOff>165101</xdr:rowOff>
    </xdr:from>
    <xdr:to>
      <xdr:col>4</xdr:col>
      <xdr:colOff>1485900</xdr:colOff>
      <xdr:row>5</xdr:row>
      <xdr:rowOff>15261</xdr:rowOff>
    </xdr:to>
    <xdr:pic>
      <xdr:nvPicPr>
        <xdr:cNvPr id="8" name="Imagen 7">
          <a:extLst>
            <a:ext uri="{FF2B5EF4-FFF2-40B4-BE49-F238E27FC236}">
              <a16:creationId xmlns:a16="http://schemas.microsoft.com/office/drawing/2014/main" id="{4F137EE6-AF90-4845-9503-7974EF38A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8009" y="165101"/>
          <a:ext cx="3744191" cy="125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25400</xdr:colOff>
      <xdr:row>13</xdr:row>
      <xdr:rowOff>0</xdr:rowOff>
    </xdr:from>
    <xdr:to>
      <xdr:col>16</xdr:col>
      <xdr:colOff>320675</xdr:colOff>
      <xdr:row>13</xdr:row>
      <xdr:rowOff>307181</xdr:rowOff>
    </xdr:to>
    <xdr:sp macro="" textlink="">
      <xdr:nvSpPr>
        <xdr:cNvPr id="9" name="AutoShape 38" descr="Resultado de imagen para boton agregar icono">
          <a:extLst>
            <a:ext uri="{FF2B5EF4-FFF2-40B4-BE49-F238E27FC236}">
              <a16:creationId xmlns:a16="http://schemas.microsoft.com/office/drawing/2014/main" id="{8ED6A22E-8E81-43F5-84B3-6B15C519CE3E}"/>
            </a:ext>
          </a:extLst>
        </xdr:cNvPr>
        <xdr:cNvSpPr>
          <a:spLocks noChangeAspect="1" noChangeArrowheads="1"/>
        </xdr:cNvSpPr>
      </xdr:nvSpPr>
      <xdr:spPr bwMode="auto">
        <a:xfrm>
          <a:off x="18389600" y="683895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13</xdr:row>
      <xdr:rowOff>0</xdr:rowOff>
    </xdr:from>
    <xdr:to>
      <xdr:col>16</xdr:col>
      <xdr:colOff>320675</xdr:colOff>
      <xdr:row>13</xdr:row>
      <xdr:rowOff>307181</xdr:rowOff>
    </xdr:to>
    <xdr:sp macro="" textlink="">
      <xdr:nvSpPr>
        <xdr:cNvPr id="10" name="AutoShape 39" descr="Resultado de imagen para boton agregar icono">
          <a:extLst>
            <a:ext uri="{FF2B5EF4-FFF2-40B4-BE49-F238E27FC236}">
              <a16:creationId xmlns:a16="http://schemas.microsoft.com/office/drawing/2014/main" id="{C42883AF-DA1F-48B9-BF31-4826CB350117}"/>
            </a:ext>
          </a:extLst>
        </xdr:cNvPr>
        <xdr:cNvSpPr>
          <a:spLocks noChangeAspect="1" noChangeArrowheads="1"/>
        </xdr:cNvSpPr>
      </xdr:nvSpPr>
      <xdr:spPr bwMode="auto">
        <a:xfrm>
          <a:off x="18389600" y="683895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13</xdr:row>
      <xdr:rowOff>0</xdr:rowOff>
    </xdr:from>
    <xdr:to>
      <xdr:col>16</xdr:col>
      <xdr:colOff>320675</xdr:colOff>
      <xdr:row>13</xdr:row>
      <xdr:rowOff>307181</xdr:rowOff>
    </xdr:to>
    <xdr:sp macro="" textlink="">
      <xdr:nvSpPr>
        <xdr:cNvPr id="11" name="AutoShape 40" descr="Resultado de imagen para boton agregar icono">
          <a:extLst>
            <a:ext uri="{FF2B5EF4-FFF2-40B4-BE49-F238E27FC236}">
              <a16:creationId xmlns:a16="http://schemas.microsoft.com/office/drawing/2014/main" id="{87744E3B-C2DC-4D16-B606-24D0E51DBBBA}"/>
            </a:ext>
          </a:extLst>
        </xdr:cNvPr>
        <xdr:cNvSpPr>
          <a:spLocks noChangeAspect="1" noChangeArrowheads="1"/>
        </xdr:cNvSpPr>
      </xdr:nvSpPr>
      <xdr:spPr bwMode="auto">
        <a:xfrm>
          <a:off x="18389600" y="683895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13</xdr:row>
      <xdr:rowOff>0</xdr:rowOff>
    </xdr:from>
    <xdr:to>
      <xdr:col>16</xdr:col>
      <xdr:colOff>320675</xdr:colOff>
      <xdr:row>13</xdr:row>
      <xdr:rowOff>307181</xdr:rowOff>
    </xdr:to>
    <xdr:sp macro="" textlink="">
      <xdr:nvSpPr>
        <xdr:cNvPr id="12" name="AutoShape 42" descr="Z">
          <a:extLst>
            <a:ext uri="{FF2B5EF4-FFF2-40B4-BE49-F238E27FC236}">
              <a16:creationId xmlns:a16="http://schemas.microsoft.com/office/drawing/2014/main" id="{D0F6DF97-AEEE-4BC2-BD0F-3B2159550494}"/>
            </a:ext>
          </a:extLst>
        </xdr:cNvPr>
        <xdr:cNvSpPr>
          <a:spLocks noChangeAspect="1" noChangeArrowheads="1"/>
        </xdr:cNvSpPr>
      </xdr:nvSpPr>
      <xdr:spPr bwMode="auto">
        <a:xfrm>
          <a:off x="18389600" y="683895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editAs="oneCell">
    <xdr:from>
      <xdr:col>16</xdr:col>
      <xdr:colOff>25400</xdr:colOff>
      <xdr:row>8</xdr:row>
      <xdr:rowOff>127000</xdr:rowOff>
    </xdr:from>
    <xdr:to>
      <xdr:col>16</xdr:col>
      <xdr:colOff>25400</xdr:colOff>
      <xdr:row>8</xdr:row>
      <xdr:rowOff>409720</xdr:rowOff>
    </xdr:to>
    <xdr:sp macro="" textlink="">
      <xdr:nvSpPr>
        <xdr:cNvPr id="13" name="Rectangle 53">
          <a:extLst>
            <a:ext uri="{FF2B5EF4-FFF2-40B4-BE49-F238E27FC236}">
              <a16:creationId xmlns:a16="http://schemas.microsoft.com/office/drawing/2014/main" id="{3F175177-2074-4D58-8591-59F35FF092AF}"/>
            </a:ext>
          </a:extLst>
        </xdr:cNvPr>
        <xdr:cNvSpPr>
          <a:spLocks noChangeArrowheads="1"/>
        </xdr:cNvSpPr>
      </xdr:nvSpPr>
      <xdr:spPr bwMode="auto">
        <a:xfrm>
          <a:off x="18389600" y="2289175"/>
          <a:ext cx="0" cy="277957"/>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twoCellAnchor>
  <xdr:twoCellAnchor editAs="oneCell">
    <xdr:from>
      <xdr:col>16</xdr:col>
      <xdr:colOff>25400</xdr:colOff>
      <xdr:row>8</xdr:row>
      <xdr:rowOff>127000</xdr:rowOff>
    </xdr:from>
    <xdr:to>
      <xdr:col>16</xdr:col>
      <xdr:colOff>25400</xdr:colOff>
      <xdr:row>8</xdr:row>
      <xdr:rowOff>414483</xdr:rowOff>
    </xdr:to>
    <xdr:sp macro="" textlink="">
      <xdr:nvSpPr>
        <xdr:cNvPr id="14" name="Rectangle 53">
          <a:extLst>
            <a:ext uri="{FF2B5EF4-FFF2-40B4-BE49-F238E27FC236}">
              <a16:creationId xmlns:a16="http://schemas.microsoft.com/office/drawing/2014/main" id="{8F3E1946-79BA-42A4-9FE9-A8CAA42EBA4F}"/>
            </a:ext>
          </a:extLst>
        </xdr:cNvPr>
        <xdr:cNvSpPr>
          <a:spLocks noChangeArrowheads="1"/>
        </xdr:cNvSpPr>
      </xdr:nvSpPr>
      <xdr:spPr bwMode="auto">
        <a:xfrm>
          <a:off x="18389600" y="2289175"/>
          <a:ext cx="0" cy="282720"/>
        </a:xfrm>
        <a:prstGeom prst="rect">
          <a:avLst/>
        </a:prstGeom>
        <a:noFill/>
        <a:ln>
          <a:noFill/>
        </a:ln>
      </xdr:spPr>
      <xdr:txBody>
        <a:bodyPr wrap="square" lIns="45720" tIns="41148" rIns="45720" bIns="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es-CO" sz="2000" b="1" i="0" u="none" strike="noStrike" baseline="0">
              <a:solidFill>
                <a:srgbClr val="FFFFFF"/>
              </a:solidFill>
              <a:latin typeface="Arial"/>
              <a:cs typeface="Arial"/>
            </a:rPr>
            <a:t>?</a:t>
          </a:r>
        </a:p>
      </xdr:txBody>
    </xdr:sp>
    <xdr:clientData/>
  </xdr:twoCellAnchor>
  <xdr:oneCellAnchor>
    <xdr:from>
      <xdr:col>16</xdr:col>
      <xdr:colOff>25400</xdr:colOff>
      <xdr:row>12</xdr:row>
      <xdr:rowOff>0</xdr:rowOff>
    </xdr:from>
    <xdr:ext cx="295275" cy="307181"/>
    <xdr:sp macro="" textlink="">
      <xdr:nvSpPr>
        <xdr:cNvPr id="15" name="AutoShape 38" descr="Resultado de imagen para boton agregar icono">
          <a:extLst>
            <a:ext uri="{FF2B5EF4-FFF2-40B4-BE49-F238E27FC236}">
              <a16:creationId xmlns:a16="http://schemas.microsoft.com/office/drawing/2014/main" id="{7DC57E02-5DD8-4A11-917B-9A301B2C1B39}"/>
            </a:ext>
          </a:extLst>
        </xdr:cNvPr>
        <xdr:cNvSpPr>
          <a:spLocks noChangeAspect="1" noChangeArrowheads="1"/>
        </xdr:cNvSpPr>
      </xdr:nvSpPr>
      <xdr:spPr bwMode="auto">
        <a:xfrm>
          <a:off x="22494875" y="7848600"/>
          <a:ext cx="2952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7181"/>
    <xdr:sp macro="" textlink="">
      <xdr:nvSpPr>
        <xdr:cNvPr id="16" name="AutoShape 39" descr="Resultado de imagen para boton agregar icono">
          <a:extLst>
            <a:ext uri="{FF2B5EF4-FFF2-40B4-BE49-F238E27FC236}">
              <a16:creationId xmlns:a16="http://schemas.microsoft.com/office/drawing/2014/main" id="{6EB91A80-92EE-494A-B175-91DC56C9C280}"/>
            </a:ext>
          </a:extLst>
        </xdr:cNvPr>
        <xdr:cNvSpPr>
          <a:spLocks noChangeAspect="1" noChangeArrowheads="1"/>
        </xdr:cNvSpPr>
      </xdr:nvSpPr>
      <xdr:spPr bwMode="auto">
        <a:xfrm>
          <a:off x="22494875" y="7848600"/>
          <a:ext cx="2952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7181"/>
    <xdr:sp macro="" textlink="">
      <xdr:nvSpPr>
        <xdr:cNvPr id="17" name="AutoShape 40" descr="Resultado de imagen para boton agregar icono">
          <a:extLst>
            <a:ext uri="{FF2B5EF4-FFF2-40B4-BE49-F238E27FC236}">
              <a16:creationId xmlns:a16="http://schemas.microsoft.com/office/drawing/2014/main" id="{DB01766B-4327-4889-88F0-474E1A553371}"/>
            </a:ext>
          </a:extLst>
        </xdr:cNvPr>
        <xdr:cNvSpPr>
          <a:spLocks noChangeAspect="1" noChangeArrowheads="1"/>
        </xdr:cNvSpPr>
      </xdr:nvSpPr>
      <xdr:spPr bwMode="auto">
        <a:xfrm>
          <a:off x="22494875" y="7848600"/>
          <a:ext cx="2952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7181"/>
    <xdr:sp macro="" textlink="">
      <xdr:nvSpPr>
        <xdr:cNvPr id="18" name="AutoShape 42" descr="Z">
          <a:extLst>
            <a:ext uri="{FF2B5EF4-FFF2-40B4-BE49-F238E27FC236}">
              <a16:creationId xmlns:a16="http://schemas.microsoft.com/office/drawing/2014/main" id="{E5220257-ECFF-474F-9C5A-ED72EA7C1EB9}"/>
            </a:ext>
          </a:extLst>
        </xdr:cNvPr>
        <xdr:cNvSpPr>
          <a:spLocks noChangeAspect="1" noChangeArrowheads="1"/>
        </xdr:cNvSpPr>
      </xdr:nvSpPr>
      <xdr:spPr bwMode="auto">
        <a:xfrm>
          <a:off x="22494875" y="7848600"/>
          <a:ext cx="2952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7181"/>
    <xdr:sp macro="" textlink="">
      <xdr:nvSpPr>
        <xdr:cNvPr id="19" name="AutoShape 38" descr="Resultado de imagen para boton agregar icono">
          <a:extLst>
            <a:ext uri="{FF2B5EF4-FFF2-40B4-BE49-F238E27FC236}">
              <a16:creationId xmlns:a16="http://schemas.microsoft.com/office/drawing/2014/main" id="{E021DA4A-539F-48BA-82CF-B7B4F61AEE98}"/>
            </a:ext>
          </a:extLst>
        </xdr:cNvPr>
        <xdr:cNvSpPr>
          <a:spLocks noChangeAspect="1" noChangeArrowheads="1"/>
        </xdr:cNvSpPr>
      </xdr:nvSpPr>
      <xdr:spPr bwMode="auto">
        <a:xfrm>
          <a:off x="22494875" y="7848600"/>
          <a:ext cx="2952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7181"/>
    <xdr:sp macro="" textlink="">
      <xdr:nvSpPr>
        <xdr:cNvPr id="20" name="AutoShape 39" descr="Resultado de imagen para boton agregar icono">
          <a:extLst>
            <a:ext uri="{FF2B5EF4-FFF2-40B4-BE49-F238E27FC236}">
              <a16:creationId xmlns:a16="http://schemas.microsoft.com/office/drawing/2014/main" id="{5689D55E-9DC4-4EC1-9E6F-766836FFBED4}"/>
            </a:ext>
          </a:extLst>
        </xdr:cNvPr>
        <xdr:cNvSpPr>
          <a:spLocks noChangeAspect="1" noChangeArrowheads="1"/>
        </xdr:cNvSpPr>
      </xdr:nvSpPr>
      <xdr:spPr bwMode="auto">
        <a:xfrm>
          <a:off x="22494875" y="7848600"/>
          <a:ext cx="2952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7181"/>
    <xdr:sp macro="" textlink="">
      <xdr:nvSpPr>
        <xdr:cNvPr id="21" name="AutoShape 40" descr="Resultado de imagen para boton agregar icono">
          <a:extLst>
            <a:ext uri="{FF2B5EF4-FFF2-40B4-BE49-F238E27FC236}">
              <a16:creationId xmlns:a16="http://schemas.microsoft.com/office/drawing/2014/main" id="{457015F5-F4E0-43DD-9F60-28475D20AFE6}"/>
            </a:ext>
          </a:extLst>
        </xdr:cNvPr>
        <xdr:cNvSpPr>
          <a:spLocks noChangeAspect="1" noChangeArrowheads="1"/>
        </xdr:cNvSpPr>
      </xdr:nvSpPr>
      <xdr:spPr bwMode="auto">
        <a:xfrm>
          <a:off x="22494875" y="7848600"/>
          <a:ext cx="2952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oneCellAnchor>
    <xdr:from>
      <xdr:col>16</xdr:col>
      <xdr:colOff>25400</xdr:colOff>
      <xdr:row>12</xdr:row>
      <xdr:rowOff>0</xdr:rowOff>
    </xdr:from>
    <xdr:ext cx="295275" cy="307181"/>
    <xdr:sp macro="" textlink="">
      <xdr:nvSpPr>
        <xdr:cNvPr id="22" name="AutoShape 42" descr="Z">
          <a:extLst>
            <a:ext uri="{FF2B5EF4-FFF2-40B4-BE49-F238E27FC236}">
              <a16:creationId xmlns:a16="http://schemas.microsoft.com/office/drawing/2014/main" id="{1FB5879C-FB5C-4D57-AB35-7335BE1299C3}"/>
            </a:ext>
          </a:extLst>
        </xdr:cNvPr>
        <xdr:cNvSpPr>
          <a:spLocks noChangeAspect="1" noChangeArrowheads="1"/>
        </xdr:cNvSpPr>
      </xdr:nvSpPr>
      <xdr:spPr bwMode="auto">
        <a:xfrm>
          <a:off x="22494875" y="7848600"/>
          <a:ext cx="2952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SECAR\Downloads\2.%20Mapa%20de%20riesgos%20DIRyPLA__%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41" dataDxfId="40">
  <autoFilter ref="B209:C219" xr:uid="{00000000-0009-0000-0100-000001000000}"/>
  <tableColumns count="2">
    <tableColumn id="1" xr3:uid="{00000000-0010-0000-0000-000001000000}" name="Criterios" dataDxfId="39"/>
    <tableColumn id="2" xr3:uid="{00000000-0010-0000-0000-000002000000}" name="Subcriterios" dataDxfId="3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H55"/>
  <sheetViews>
    <sheetView topLeftCell="A44" zoomScale="110" zoomScaleNormal="110" workbookViewId="0">
      <selection activeCell="E45" sqref="E45:F45"/>
    </sheetView>
  </sheetViews>
  <sheetFormatPr baseColWidth="10" defaultColWidth="11.42578125" defaultRowHeight="15" x14ac:dyDescent="0.25"/>
  <cols>
    <col min="1" max="1" width="2.85546875" style="83" customWidth="1"/>
    <col min="2" max="3" width="24.5703125" style="83" customWidth="1"/>
    <col min="4" max="4" width="16" style="83" customWidth="1"/>
    <col min="5" max="5" width="24.5703125" style="83" customWidth="1"/>
    <col min="6" max="6" width="27.5703125" style="83" customWidth="1"/>
    <col min="7" max="8" width="24.5703125" style="83" customWidth="1"/>
    <col min="9" max="16384" width="11.42578125" style="83"/>
  </cols>
  <sheetData>
    <row r="4" spans="2:8" ht="6.95" customHeight="1" thickBot="1" x14ac:dyDescent="0.3"/>
    <row r="5" spans="2:8" hidden="1" x14ac:dyDescent="0.25"/>
    <row r="6" spans="2:8" ht="15.75" hidden="1" thickBot="1" x14ac:dyDescent="0.3"/>
    <row r="7" spans="2:8" ht="15.75" hidden="1" thickBot="1" x14ac:dyDescent="0.3"/>
    <row r="8" spans="2:8" ht="0.95" hidden="1" customHeight="1" thickBot="1" x14ac:dyDescent="0.3"/>
    <row r="9" spans="2:8" ht="15.75" hidden="1" thickBot="1" x14ac:dyDescent="0.3"/>
    <row r="10" spans="2:8" ht="15.75" hidden="1" thickBot="1" x14ac:dyDescent="0.3"/>
    <row r="11" spans="2:8" ht="15.75" hidden="1" thickBot="1" x14ac:dyDescent="0.3"/>
    <row r="12" spans="2:8" ht="95.1" customHeight="1" x14ac:dyDescent="0.25">
      <c r="B12" s="262" t="s">
        <v>0</v>
      </c>
      <c r="C12" s="263"/>
      <c r="D12" s="263"/>
      <c r="E12" s="263"/>
      <c r="F12" s="263"/>
      <c r="G12" s="263"/>
      <c r="H12" s="264"/>
    </row>
    <row r="13" spans="2:8" ht="11.1" customHeight="1" x14ac:dyDescent="0.25">
      <c r="B13" s="84"/>
      <c r="C13" s="85"/>
      <c r="D13" s="85"/>
      <c r="E13" s="85"/>
      <c r="F13" s="85"/>
      <c r="G13" s="85"/>
      <c r="H13" s="86"/>
    </row>
    <row r="14" spans="2:8" ht="29.1" hidden="1" customHeight="1" x14ac:dyDescent="0.25">
      <c r="B14" s="265" t="s">
        <v>210</v>
      </c>
      <c r="C14" s="266"/>
      <c r="D14" s="266"/>
      <c r="E14" s="266"/>
      <c r="F14" s="266"/>
      <c r="G14" s="266"/>
      <c r="H14" s="267"/>
    </row>
    <row r="15" spans="2:8" ht="63" hidden="1" customHeight="1" x14ac:dyDescent="0.25">
      <c r="B15" s="268"/>
      <c r="C15" s="269"/>
      <c r="D15" s="269"/>
      <c r="E15" s="269"/>
      <c r="F15" s="269"/>
      <c r="G15" s="269"/>
      <c r="H15" s="270"/>
    </row>
    <row r="16" spans="2:8" ht="16.5" x14ac:dyDescent="0.25">
      <c r="B16" s="271" t="s">
        <v>1</v>
      </c>
      <c r="C16" s="272"/>
      <c r="D16" s="272"/>
      <c r="E16" s="272"/>
      <c r="F16" s="272"/>
      <c r="G16" s="272"/>
      <c r="H16" s="273"/>
    </row>
    <row r="17" spans="2:8" ht="95.25" customHeight="1" x14ac:dyDescent="0.25">
      <c r="B17" s="281" t="s">
        <v>2</v>
      </c>
      <c r="C17" s="282"/>
      <c r="D17" s="282"/>
      <c r="E17" s="282"/>
      <c r="F17" s="282"/>
      <c r="G17" s="282"/>
      <c r="H17" s="283"/>
    </row>
    <row r="18" spans="2:8" ht="16.5" x14ac:dyDescent="0.25">
      <c r="B18" s="120"/>
      <c r="C18" s="121"/>
      <c r="D18" s="121"/>
      <c r="E18" s="121"/>
      <c r="F18" s="121"/>
      <c r="G18" s="121"/>
      <c r="H18" s="122"/>
    </row>
    <row r="19" spans="2:8" ht="16.5" customHeight="1" x14ac:dyDescent="0.25">
      <c r="B19" s="274" t="s">
        <v>218</v>
      </c>
      <c r="C19" s="275"/>
      <c r="D19" s="275"/>
      <c r="E19" s="275"/>
      <c r="F19" s="275"/>
      <c r="G19" s="275"/>
      <c r="H19" s="276"/>
    </row>
    <row r="20" spans="2:8" ht="44.25" customHeight="1" x14ac:dyDescent="0.25">
      <c r="B20" s="274"/>
      <c r="C20" s="275"/>
      <c r="D20" s="275"/>
      <c r="E20" s="275"/>
      <c r="F20" s="275"/>
      <c r="G20" s="275"/>
      <c r="H20" s="276"/>
    </row>
    <row r="21" spans="2:8" ht="15.75" thickBot="1" x14ac:dyDescent="0.3">
      <c r="B21" s="109"/>
      <c r="C21" s="112"/>
      <c r="D21" s="117"/>
      <c r="E21" s="118"/>
      <c r="F21" s="118"/>
      <c r="G21" s="119"/>
      <c r="H21" s="113"/>
    </row>
    <row r="22" spans="2:8" ht="15.75" thickTop="1" x14ac:dyDescent="0.25">
      <c r="B22" s="109"/>
      <c r="C22" s="277" t="s">
        <v>3</v>
      </c>
      <c r="D22" s="278"/>
      <c r="E22" s="279" t="s">
        <v>4</v>
      </c>
      <c r="F22" s="280"/>
      <c r="G22" s="112"/>
      <c r="H22" s="113"/>
    </row>
    <row r="23" spans="2:8" ht="35.25" customHeight="1" x14ac:dyDescent="0.25">
      <c r="B23" s="109"/>
      <c r="C23" s="249" t="s">
        <v>5</v>
      </c>
      <c r="D23" s="250"/>
      <c r="E23" s="251" t="s">
        <v>6</v>
      </c>
      <c r="F23" s="252"/>
      <c r="G23" s="112"/>
      <c r="H23" s="113"/>
    </row>
    <row r="24" spans="2:8" ht="17.25" customHeight="1" x14ac:dyDescent="0.25">
      <c r="B24" s="109"/>
      <c r="C24" s="249" t="s">
        <v>7</v>
      </c>
      <c r="D24" s="250"/>
      <c r="E24" s="251" t="s">
        <v>8</v>
      </c>
      <c r="F24" s="252"/>
      <c r="G24" s="112"/>
      <c r="H24" s="113"/>
    </row>
    <row r="25" spans="2:8" ht="19.5" customHeight="1" x14ac:dyDescent="0.25">
      <c r="B25" s="109"/>
      <c r="C25" s="249" t="s">
        <v>9</v>
      </c>
      <c r="D25" s="250"/>
      <c r="E25" s="251" t="s">
        <v>10</v>
      </c>
      <c r="F25" s="252"/>
      <c r="G25" s="112"/>
      <c r="H25" s="113"/>
    </row>
    <row r="26" spans="2:8" ht="69.75" customHeight="1" x14ac:dyDescent="0.25">
      <c r="B26" s="109"/>
      <c r="C26" s="249" t="s">
        <v>11</v>
      </c>
      <c r="D26" s="250"/>
      <c r="E26" s="251" t="s">
        <v>12</v>
      </c>
      <c r="F26" s="252"/>
      <c r="G26" s="112"/>
      <c r="H26" s="113"/>
    </row>
    <row r="27" spans="2:8" ht="34.5" customHeight="1" x14ac:dyDescent="0.25">
      <c r="B27" s="109"/>
      <c r="C27" s="253" t="s">
        <v>13</v>
      </c>
      <c r="D27" s="254"/>
      <c r="E27" s="245" t="s">
        <v>14</v>
      </c>
      <c r="F27" s="246"/>
      <c r="G27" s="112"/>
      <c r="H27" s="113"/>
    </row>
    <row r="28" spans="2:8" ht="27.75" customHeight="1" x14ac:dyDescent="0.25">
      <c r="B28" s="109"/>
      <c r="C28" s="253" t="s">
        <v>15</v>
      </c>
      <c r="D28" s="254"/>
      <c r="E28" s="245" t="s">
        <v>16</v>
      </c>
      <c r="F28" s="246"/>
      <c r="G28" s="112"/>
      <c r="H28" s="113"/>
    </row>
    <row r="29" spans="2:8" ht="28.5" customHeight="1" x14ac:dyDescent="0.25">
      <c r="B29" s="109"/>
      <c r="C29" s="253" t="s">
        <v>17</v>
      </c>
      <c r="D29" s="254"/>
      <c r="E29" s="245" t="s">
        <v>18</v>
      </c>
      <c r="F29" s="246"/>
      <c r="G29" s="112"/>
      <c r="H29" s="113"/>
    </row>
    <row r="30" spans="2:8" ht="72.75" customHeight="1" x14ac:dyDescent="0.25">
      <c r="B30" s="109"/>
      <c r="C30" s="253" t="s">
        <v>19</v>
      </c>
      <c r="D30" s="254"/>
      <c r="E30" s="245" t="s">
        <v>20</v>
      </c>
      <c r="F30" s="246"/>
      <c r="G30" s="112"/>
      <c r="H30" s="113"/>
    </row>
    <row r="31" spans="2:8" ht="64.5" customHeight="1" x14ac:dyDescent="0.25">
      <c r="B31" s="109"/>
      <c r="C31" s="253" t="s">
        <v>21</v>
      </c>
      <c r="D31" s="254"/>
      <c r="E31" s="245" t="s">
        <v>22</v>
      </c>
      <c r="F31" s="246"/>
      <c r="G31" s="112"/>
      <c r="H31" s="113"/>
    </row>
    <row r="32" spans="2:8" ht="71.25" customHeight="1" x14ac:dyDescent="0.25">
      <c r="B32" s="109"/>
      <c r="C32" s="253" t="s">
        <v>23</v>
      </c>
      <c r="D32" s="254"/>
      <c r="E32" s="245" t="s">
        <v>24</v>
      </c>
      <c r="F32" s="246"/>
      <c r="G32" s="112"/>
      <c r="H32" s="113"/>
    </row>
    <row r="33" spans="2:8" ht="55.5" customHeight="1" x14ac:dyDescent="0.25">
      <c r="B33" s="109"/>
      <c r="C33" s="247" t="s">
        <v>25</v>
      </c>
      <c r="D33" s="248"/>
      <c r="E33" s="245" t="s">
        <v>26</v>
      </c>
      <c r="F33" s="246"/>
      <c r="G33" s="112"/>
      <c r="H33" s="113"/>
    </row>
    <row r="34" spans="2:8" ht="42" customHeight="1" x14ac:dyDescent="0.25">
      <c r="B34" s="109"/>
      <c r="C34" s="247" t="s">
        <v>27</v>
      </c>
      <c r="D34" s="248"/>
      <c r="E34" s="245" t="s">
        <v>28</v>
      </c>
      <c r="F34" s="246"/>
      <c r="G34" s="112"/>
      <c r="H34" s="113"/>
    </row>
    <row r="35" spans="2:8" ht="59.25" customHeight="1" x14ac:dyDescent="0.25">
      <c r="B35" s="109"/>
      <c r="C35" s="247" t="s">
        <v>29</v>
      </c>
      <c r="D35" s="248"/>
      <c r="E35" s="245" t="s">
        <v>30</v>
      </c>
      <c r="F35" s="246"/>
      <c r="G35" s="112"/>
      <c r="H35" s="113"/>
    </row>
    <row r="36" spans="2:8" ht="23.25" customHeight="1" x14ac:dyDescent="0.25">
      <c r="B36" s="109"/>
      <c r="C36" s="247" t="s">
        <v>31</v>
      </c>
      <c r="D36" s="248"/>
      <c r="E36" s="245" t="s">
        <v>32</v>
      </c>
      <c r="F36" s="246"/>
      <c r="G36" s="112"/>
      <c r="H36" s="113"/>
    </row>
    <row r="37" spans="2:8" ht="30.75" customHeight="1" x14ac:dyDescent="0.25">
      <c r="B37" s="109"/>
      <c r="C37" s="247" t="s">
        <v>33</v>
      </c>
      <c r="D37" s="248"/>
      <c r="E37" s="245" t="s">
        <v>34</v>
      </c>
      <c r="F37" s="246"/>
      <c r="G37" s="112"/>
      <c r="H37" s="113"/>
    </row>
    <row r="38" spans="2:8" ht="35.25" customHeight="1" x14ac:dyDescent="0.25">
      <c r="B38" s="109"/>
      <c r="C38" s="247" t="s">
        <v>35</v>
      </c>
      <c r="D38" s="248"/>
      <c r="E38" s="245" t="s">
        <v>36</v>
      </c>
      <c r="F38" s="246"/>
      <c r="G38" s="112"/>
      <c r="H38" s="113"/>
    </row>
    <row r="39" spans="2:8" ht="33" customHeight="1" x14ac:dyDescent="0.25">
      <c r="B39" s="109"/>
      <c r="C39" s="247" t="s">
        <v>35</v>
      </c>
      <c r="D39" s="248"/>
      <c r="E39" s="245" t="s">
        <v>36</v>
      </c>
      <c r="F39" s="246"/>
      <c r="G39" s="112"/>
      <c r="H39" s="113"/>
    </row>
    <row r="40" spans="2:8" ht="30" customHeight="1" x14ac:dyDescent="0.25">
      <c r="B40" s="109"/>
      <c r="C40" s="247" t="s">
        <v>37</v>
      </c>
      <c r="D40" s="248"/>
      <c r="E40" s="245" t="s">
        <v>38</v>
      </c>
      <c r="F40" s="246"/>
      <c r="G40" s="112"/>
      <c r="H40" s="113"/>
    </row>
    <row r="41" spans="2:8" ht="35.25" customHeight="1" x14ac:dyDescent="0.25">
      <c r="B41" s="109"/>
      <c r="C41" s="247" t="s">
        <v>39</v>
      </c>
      <c r="D41" s="248"/>
      <c r="E41" s="245" t="s">
        <v>40</v>
      </c>
      <c r="F41" s="246"/>
      <c r="G41" s="112"/>
      <c r="H41" s="113"/>
    </row>
    <row r="42" spans="2:8" ht="31.5" customHeight="1" x14ac:dyDescent="0.25">
      <c r="B42" s="109"/>
      <c r="C42" s="247" t="s">
        <v>41</v>
      </c>
      <c r="D42" s="248"/>
      <c r="E42" s="245" t="s">
        <v>42</v>
      </c>
      <c r="F42" s="246"/>
      <c r="G42" s="112"/>
      <c r="H42" s="113"/>
    </row>
    <row r="43" spans="2:8" ht="35.25" customHeight="1" x14ac:dyDescent="0.25">
      <c r="B43" s="109"/>
      <c r="C43" s="247" t="s">
        <v>43</v>
      </c>
      <c r="D43" s="248"/>
      <c r="E43" s="245" t="s">
        <v>44</v>
      </c>
      <c r="F43" s="246"/>
      <c r="G43" s="112"/>
      <c r="H43" s="113"/>
    </row>
    <row r="44" spans="2:8" ht="59.25" customHeight="1" x14ac:dyDescent="0.25">
      <c r="B44" s="109"/>
      <c r="C44" s="247" t="s">
        <v>45</v>
      </c>
      <c r="D44" s="248"/>
      <c r="E44" s="245" t="s">
        <v>46</v>
      </c>
      <c r="F44" s="246"/>
      <c r="G44" s="112"/>
      <c r="H44" s="113"/>
    </row>
    <row r="45" spans="2:8" ht="29.25" customHeight="1" x14ac:dyDescent="0.25">
      <c r="B45" s="109"/>
      <c r="C45" s="247" t="s">
        <v>47</v>
      </c>
      <c r="D45" s="248"/>
      <c r="E45" s="245" t="s">
        <v>48</v>
      </c>
      <c r="F45" s="246"/>
      <c r="G45" s="112"/>
      <c r="H45" s="113"/>
    </row>
    <row r="46" spans="2:8" ht="82.5" customHeight="1" x14ac:dyDescent="0.25">
      <c r="B46" s="109"/>
      <c r="C46" s="247" t="s">
        <v>49</v>
      </c>
      <c r="D46" s="248"/>
      <c r="E46" s="245" t="s">
        <v>50</v>
      </c>
      <c r="F46" s="246"/>
      <c r="G46" s="112"/>
      <c r="H46" s="113"/>
    </row>
    <row r="47" spans="2:8" ht="46.5" customHeight="1" x14ac:dyDescent="0.25">
      <c r="B47" s="109"/>
      <c r="C47" s="247" t="s">
        <v>51</v>
      </c>
      <c r="D47" s="248"/>
      <c r="E47" s="245" t="s">
        <v>52</v>
      </c>
      <c r="F47" s="246"/>
      <c r="G47" s="112"/>
      <c r="H47" s="113"/>
    </row>
    <row r="48" spans="2:8" ht="6.75" customHeight="1" thickBot="1" x14ac:dyDescent="0.3">
      <c r="B48" s="109"/>
      <c r="C48" s="258"/>
      <c r="D48" s="259"/>
      <c r="E48" s="260"/>
      <c r="F48" s="261"/>
      <c r="G48" s="112"/>
      <c r="H48" s="113"/>
    </row>
    <row r="49" spans="2:8" ht="15.75" thickTop="1" x14ac:dyDescent="0.25">
      <c r="B49" s="109"/>
      <c r="C49" s="110"/>
      <c r="D49" s="110"/>
      <c r="E49" s="111"/>
      <c r="F49" s="111"/>
      <c r="G49" s="112"/>
      <c r="H49" s="113"/>
    </row>
    <row r="50" spans="2:8" ht="21" customHeight="1" x14ac:dyDescent="0.25">
      <c r="B50" s="255" t="s">
        <v>53</v>
      </c>
      <c r="C50" s="256"/>
      <c r="D50" s="256"/>
      <c r="E50" s="256"/>
      <c r="F50" s="256"/>
      <c r="G50" s="256"/>
      <c r="H50" s="257"/>
    </row>
    <row r="51" spans="2:8" ht="20.25" customHeight="1" x14ac:dyDescent="0.25">
      <c r="B51" s="255" t="s">
        <v>54</v>
      </c>
      <c r="C51" s="256"/>
      <c r="D51" s="256"/>
      <c r="E51" s="256"/>
      <c r="F51" s="256"/>
      <c r="G51" s="256"/>
      <c r="H51" s="257"/>
    </row>
    <row r="52" spans="2:8" ht="20.25" customHeight="1" x14ac:dyDescent="0.25">
      <c r="B52" s="255" t="s">
        <v>55</v>
      </c>
      <c r="C52" s="256"/>
      <c r="D52" s="256"/>
      <c r="E52" s="256"/>
      <c r="F52" s="256"/>
      <c r="G52" s="256"/>
      <c r="H52" s="257"/>
    </row>
    <row r="53" spans="2:8" ht="20.25" customHeight="1" x14ac:dyDescent="0.25">
      <c r="B53" s="255" t="s">
        <v>56</v>
      </c>
      <c r="C53" s="256"/>
      <c r="D53" s="256"/>
      <c r="E53" s="256"/>
      <c r="F53" s="256"/>
      <c r="G53" s="256"/>
      <c r="H53" s="257"/>
    </row>
    <row r="54" spans="2:8" x14ac:dyDescent="0.25">
      <c r="B54" s="255" t="s">
        <v>57</v>
      </c>
      <c r="C54" s="256"/>
      <c r="D54" s="256"/>
      <c r="E54" s="256"/>
      <c r="F54" s="256"/>
      <c r="G54" s="256"/>
      <c r="H54" s="257"/>
    </row>
    <row r="55" spans="2:8" ht="15.75" thickBot="1" x14ac:dyDescent="0.3">
      <c r="B55" s="114"/>
      <c r="C55" s="115"/>
      <c r="D55" s="115"/>
      <c r="E55" s="115"/>
      <c r="F55" s="115"/>
      <c r="G55" s="115"/>
      <c r="H55" s="116"/>
    </row>
  </sheetData>
  <mergeCells count="64">
    <mergeCell ref="B12:H12"/>
    <mergeCell ref="B14:H15"/>
    <mergeCell ref="B16:H16"/>
    <mergeCell ref="B19:H20"/>
    <mergeCell ref="C22:D22"/>
    <mergeCell ref="E22:F22"/>
    <mergeCell ref="B17:H17"/>
    <mergeCell ref="C23:D23"/>
    <mergeCell ref="E23:F23"/>
    <mergeCell ref="C27:D27"/>
    <mergeCell ref="E27:F27"/>
    <mergeCell ref="C31:D31"/>
    <mergeCell ref="C28:D28"/>
    <mergeCell ref="C29:D29"/>
    <mergeCell ref="C30:D30"/>
    <mergeCell ref="E28:F28"/>
    <mergeCell ref="E29:F29"/>
    <mergeCell ref="E30:F30"/>
    <mergeCell ref="E31:F31"/>
    <mergeCell ref="B52:H52"/>
    <mergeCell ref="B53:H53"/>
    <mergeCell ref="B54:H54"/>
    <mergeCell ref="E33:F33"/>
    <mergeCell ref="C33:D33"/>
    <mergeCell ref="C34:D34"/>
    <mergeCell ref="E34:F34"/>
    <mergeCell ref="C36:D36"/>
    <mergeCell ref="E36:F36"/>
    <mergeCell ref="E44:F44"/>
    <mergeCell ref="C42:D42"/>
    <mergeCell ref="C41:D41"/>
    <mergeCell ref="E41:F41"/>
    <mergeCell ref="E42:F42"/>
    <mergeCell ref="C37:D37"/>
    <mergeCell ref="E37:F37"/>
    <mergeCell ref="C43:D43"/>
    <mergeCell ref="B50:H50"/>
    <mergeCell ref="C39:D39"/>
    <mergeCell ref="E39:F39"/>
    <mergeCell ref="C40:D40"/>
    <mergeCell ref="E40:F40"/>
    <mergeCell ref="E43:F43"/>
    <mergeCell ref="C44:D44"/>
    <mergeCell ref="C45:D45"/>
    <mergeCell ref="E45:F45"/>
    <mergeCell ref="C46:D46"/>
    <mergeCell ref="E46:F46"/>
    <mergeCell ref="B51:H51"/>
    <mergeCell ref="C48:D48"/>
    <mergeCell ref="E48:F48"/>
    <mergeCell ref="C47:D47"/>
    <mergeCell ref="E47:F47"/>
    <mergeCell ref="E38:F38"/>
    <mergeCell ref="C38:D38"/>
    <mergeCell ref="C26:D26"/>
    <mergeCell ref="E26:F26"/>
    <mergeCell ref="C24:D24"/>
    <mergeCell ref="E24:F24"/>
    <mergeCell ref="C25:D25"/>
    <mergeCell ref="E25:F25"/>
    <mergeCell ref="E32:F32"/>
    <mergeCell ref="C32:D32"/>
    <mergeCell ref="C35:D35"/>
    <mergeCell ref="E35:F3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E22" sqref="E22"/>
    </sheetView>
  </sheetViews>
  <sheetFormatPr baseColWidth="10" defaultColWidth="14.42578125" defaultRowHeight="12.75" x14ac:dyDescent="0.2"/>
  <cols>
    <col min="1" max="2" width="14.42578125" style="88"/>
    <col min="3" max="3" width="17" style="88" customWidth="1"/>
    <col min="4" max="4" width="14.42578125" style="88"/>
    <col min="5" max="5" width="46" style="88" customWidth="1"/>
    <col min="6" max="16384" width="14.42578125" style="88"/>
  </cols>
  <sheetData>
    <row r="1" spans="2:6" ht="24" customHeight="1" thickBot="1" x14ac:dyDescent="0.25">
      <c r="B1" s="529" t="s">
        <v>159</v>
      </c>
      <c r="C1" s="530"/>
      <c r="D1" s="530"/>
      <c r="E1" s="530"/>
      <c r="F1" s="531"/>
    </row>
    <row r="2" spans="2:6" ht="16.5" thickBot="1" x14ac:dyDescent="0.3">
      <c r="B2" s="89"/>
      <c r="C2" s="89"/>
      <c r="D2" s="89"/>
      <c r="E2" s="89"/>
      <c r="F2" s="89"/>
    </row>
    <row r="3" spans="2:6" ht="16.5" thickBot="1" x14ac:dyDescent="0.25">
      <c r="B3" s="533" t="s">
        <v>160</v>
      </c>
      <c r="C3" s="534"/>
      <c r="D3" s="534"/>
      <c r="E3" s="101" t="s">
        <v>161</v>
      </c>
      <c r="F3" s="102" t="s">
        <v>162</v>
      </c>
    </row>
    <row r="4" spans="2:6" ht="31.5" x14ac:dyDescent="0.2">
      <c r="B4" s="535" t="s">
        <v>163</v>
      </c>
      <c r="C4" s="537" t="s">
        <v>83</v>
      </c>
      <c r="D4" s="90" t="s">
        <v>164</v>
      </c>
      <c r="E4" s="91" t="s">
        <v>165</v>
      </c>
      <c r="F4" s="92">
        <v>0.25</v>
      </c>
    </row>
    <row r="5" spans="2:6" ht="47.25" x14ac:dyDescent="0.2">
      <c r="B5" s="536"/>
      <c r="C5" s="538"/>
      <c r="D5" s="93" t="s">
        <v>166</v>
      </c>
      <c r="E5" s="94" t="s">
        <v>167</v>
      </c>
      <c r="F5" s="95">
        <v>0.15</v>
      </c>
    </row>
    <row r="6" spans="2:6" ht="47.25" x14ac:dyDescent="0.2">
      <c r="B6" s="536"/>
      <c r="C6" s="538"/>
      <c r="D6" s="93" t="s">
        <v>168</v>
      </c>
      <c r="E6" s="94" t="s">
        <v>169</v>
      </c>
      <c r="F6" s="95">
        <v>0.1</v>
      </c>
    </row>
    <row r="7" spans="2:6" ht="63" x14ac:dyDescent="0.2">
      <c r="B7" s="536"/>
      <c r="C7" s="538" t="s">
        <v>84</v>
      </c>
      <c r="D7" s="93" t="s">
        <v>170</v>
      </c>
      <c r="E7" s="94" t="s">
        <v>171</v>
      </c>
      <c r="F7" s="95">
        <v>0.25</v>
      </c>
    </row>
    <row r="8" spans="2:6" ht="31.5" x14ac:dyDescent="0.2">
      <c r="B8" s="536"/>
      <c r="C8" s="538"/>
      <c r="D8" s="93" t="s">
        <v>172</v>
      </c>
      <c r="E8" s="94" t="s">
        <v>173</v>
      </c>
      <c r="F8" s="95">
        <v>0.15</v>
      </c>
    </row>
    <row r="9" spans="2:6" ht="47.25" x14ac:dyDescent="0.2">
      <c r="B9" s="536" t="s">
        <v>174</v>
      </c>
      <c r="C9" s="538" t="s">
        <v>86</v>
      </c>
      <c r="D9" s="93" t="s">
        <v>175</v>
      </c>
      <c r="E9" s="94" t="s">
        <v>176</v>
      </c>
      <c r="F9" s="96" t="s">
        <v>177</v>
      </c>
    </row>
    <row r="10" spans="2:6" ht="63" x14ac:dyDescent="0.2">
      <c r="B10" s="536"/>
      <c r="C10" s="538"/>
      <c r="D10" s="93" t="s">
        <v>178</v>
      </c>
      <c r="E10" s="94" t="s">
        <v>179</v>
      </c>
      <c r="F10" s="96" t="s">
        <v>177</v>
      </c>
    </row>
    <row r="11" spans="2:6" ht="47.25" x14ac:dyDescent="0.2">
      <c r="B11" s="536"/>
      <c r="C11" s="538" t="s">
        <v>87</v>
      </c>
      <c r="D11" s="93" t="s">
        <v>180</v>
      </c>
      <c r="E11" s="94" t="s">
        <v>181</v>
      </c>
      <c r="F11" s="96" t="s">
        <v>177</v>
      </c>
    </row>
    <row r="12" spans="2:6" ht="47.25" x14ac:dyDescent="0.2">
      <c r="B12" s="536"/>
      <c r="C12" s="538"/>
      <c r="D12" s="93" t="s">
        <v>182</v>
      </c>
      <c r="E12" s="94" t="s">
        <v>183</v>
      </c>
      <c r="F12" s="96" t="s">
        <v>177</v>
      </c>
    </row>
    <row r="13" spans="2:6" ht="31.5" x14ac:dyDescent="0.2">
      <c r="B13" s="536"/>
      <c r="C13" s="538" t="s">
        <v>88</v>
      </c>
      <c r="D13" s="93" t="s">
        <v>184</v>
      </c>
      <c r="E13" s="94" t="s">
        <v>185</v>
      </c>
      <c r="F13" s="96" t="s">
        <v>177</v>
      </c>
    </row>
    <row r="14" spans="2:6" ht="32.25" thickBot="1" x14ac:dyDescent="0.25">
      <c r="B14" s="539"/>
      <c r="C14" s="540"/>
      <c r="D14" s="97" t="s">
        <v>186</v>
      </c>
      <c r="E14" s="98" t="s">
        <v>187</v>
      </c>
      <c r="F14" s="99" t="s">
        <v>177</v>
      </c>
    </row>
    <row r="15" spans="2:6" ht="49.5" customHeight="1" x14ac:dyDescent="0.2">
      <c r="B15" s="532" t="s">
        <v>188</v>
      </c>
      <c r="C15" s="532"/>
      <c r="D15" s="532"/>
      <c r="E15" s="532"/>
      <c r="F15" s="532"/>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189</v>
      </c>
      <c r="E2" t="s">
        <v>190</v>
      </c>
    </row>
    <row r="3" spans="2:5" x14ac:dyDescent="0.25">
      <c r="B3" t="s">
        <v>191</v>
      </c>
      <c r="E3" t="s">
        <v>192</v>
      </c>
    </row>
    <row r="4" spans="2:5" x14ac:dyDescent="0.25">
      <c r="B4" t="s">
        <v>193</v>
      </c>
      <c r="E4" t="s">
        <v>194</v>
      </c>
    </row>
    <row r="5" spans="2:5" x14ac:dyDescent="0.25">
      <c r="B5" t="s">
        <v>195</v>
      </c>
    </row>
    <row r="8" spans="2:5" x14ac:dyDescent="0.25">
      <c r="B8" t="s">
        <v>196</v>
      </c>
    </row>
    <row r="9" spans="2:5" x14ac:dyDescent="0.25">
      <c r="B9" t="s">
        <v>197</v>
      </c>
    </row>
    <row r="10" spans="2:5" x14ac:dyDescent="0.25">
      <c r="B10" t="s">
        <v>198</v>
      </c>
    </row>
    <row r="13" spans="2:5" x14ac:dyDescent="0.25">
      <c r="B13" t="s">
        <v>199</v>
      </c>
    </row>
    <row r="14" spans="2:5" x14ac:dyDescent="0.25">
      <c r="B14" t="s">
        <v>200</v>
      </c>
    </row>
    <row r="15" spans="2:5" x14ac:dyDescent="0.25">
      <c r="B15" t="s">
        <v>201</v>
      </c>
    </row>
    <row r="16" spans="2:5" x14ac:dyDescent="0.25">
      <c r="B16" t="s">
        <v>202</v>
      </c>
    </row>
    <row r="17" spans="2:2" x14ac:dyDescent="0.25">
      <c r="B17" t="s">
        <v>203</v>
      </c>
    </row>
    <row r="18" spans="2:2" x14ac:dyDescent="0.25">
      <c r="B18" t="s">
        <v>204</v>
      </c>
    </row>
    <row r="19" spans="2:2" x14ac:dyDescent="0.25">
      <c r="B19" t="s">
        <v>205</v>
      </c>
    </row>
  </sheetData>
  <sortState xmlns:xlrd2="http://schemas.microsoft.com/office/spreadsheetml/2017/richdata2" ref="B2:B5">
    <sortCondition ref="B2:B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164</v>
      </c>
    </row>
    <row r="4" spans="1:1" x14ac:dyDescent="0.2">
      <c r="A4" s="10" t="s">
        <v>166</v>
      </c>
    </row>
    <row r="5" spans="1:1" x14ac:dyDescent="0.2">
      <c r="A5" s="10" t="s">
        <v>168</v>
      </c>
    </row>
    <row r="6" spans="1:1" x14ac:dyDescent="0.2">
      <c r="A6" s="10" t="s">
        <v>170</v>
      </c>
    </row>
    <row r="7" spans="1:1" x14ac:dyDescent="0.2">
      <c r="A7" s="10" t="s">
        <v>172</v>
      </c>
    </row>
    <row r="8" spans="1:1" x14ac:dyDescent="0.2">
      <c r="A8" s="10" t="s">
        <v>175</v>
      </c>
    </row>
    <row r="9" spans="1:1" x14ac:dyDescent="0.2">
      <c r="A9" s="10" t="s">
        <v>178</v>
      </c>
    </row>
    <row r="10" spans="1:1" x14ac:dyDescent="0.2">
      <c r="A10" s="10" t="s">
        <v>180</v>
      </c>
    </row>
    <row r="11" spans="1:1" x14ac:dyDescent="0.2">
      <c r="A11" s="10" t="s">
        <v>182</v>
      </c>
    </row>
    <row r="12" spans="1:1" x14ac:dyDescent="0.2">
      <c r="A12" s="10" t="s">
        <v>206</v>
      </c>
    </row>
    <row r="13" spans="1:1" x14ac:dyDescent="0.2">
      <c r="A13" s="10" t="s">
        <v>207</v>
      </c>
    </row>
    <row r="14" spans="1:1" x14ac:dyDescent="0.2">
      <c r="A14" s="10" t="s">
        <v>208</v>
      </c>
    </row>
    <row r="16" spans="1:1" x14ac:dyDescent="0.2">
      <c r="A16" s="10" t="s">
        <v>209</v>
      </c>
    </row>
    <row r="17" spans="1:1" x14ac:dyDescent="0.2">
      <c r="A17" s="10" t="s">
        <v>189</v>
      </c>
    </row>
    <row r="18" spans="1:1" x14ac:dyDescent="0.2">
      <c r="A18" s="10" t="s">
        <v>191</v>
      </c>
    </row>
    <row r="20" spans="1:1" x14ac:dyDescent="0.2">
      <c r="A20" s="10" t="s">
        <v>197</v>
      </c>
    </row>
    <row r="21" spans="1:1" x14ac:dyDescent="0.2">
      <c r="A21" s="10"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8C7F2-2557-0141-AE89-C47E0A8CCE40}">
  <dimension ref="B4:D18"/>
  <sheetViews>
    <sheetView showGridLines="0" topLeftCell="A10" workbookViewId="0">
      <selection activeCell="C18" sqref="C18"/>
    </sheetView>
  </sheetViews>
  <sheetFormatPr baseColWidth="10" defaultRowHeight="15" x14ac:dyDescent="0.25"/>
  <cols>
    <col min="3" max="3" width="46.42578125" customWidth="1"/>
    <col min="4" max="4" width="58" customWidth="1"/>
  </cols>
  <sheetData>
    <row r="4" spans="2:4" ht="52.5" customHeight="1" x14ac:dyDescent="0.25">
      <c r="B4" s="284" t="s">
        <v>211</v>
      </c>
      <c r="C4" s="284"/>
      <c r="D4" s="284"/>
    </row>
    <row r="5" spans="2:4" ht="6.75" customHeight="1" x14ac:dyDescent="0.25">
      <c r="D5" s="137"/>
    </row>
    <row r="6" spans="2:4" ht="15" customHeight="1" x14ac:dyDescent="0.25">
      <c r="B6" s="288" t="s">
        <v>212</v>
      </c>
      <c r="C6" s="138" t="s">
        <v>213</v>
      </c>
      <c r="D6" s="138" t="s">
        <v>214</v>
      </c>
    </row>
    <row r="7" spans="2:4" ht="60.75" x14ac:dyDescent="0.25">
      <c r="B7" s="289"/>
      <c r="C7" s="139" t="s">
        <v>293</v>
      </c>
      <c r="D7" s="285" t="s">
        <v>294</v>
      </c>
    </row>
    <row r="8" spans="2:4" ht="40.5" x14ac:dyDescent="0.25">
      <c r="B8" s="289"/>
      <c r="C8" s="139" t="s">
        <v>295</v>
      </c>
      <c r="D8" s="286"/>
    </row>
    <row r="9" spans="2:4" ht="40.5" x14ac:dyDescent="0.25">
      <c r="B9" s="289"/>
      <c r="C9" s="139" t="s">
        <v>296</v>
      </c>
      <c r="D9" s="285" t="s">
        <v>297</v>
      </c>
    </row>
    <row r="10" spans="2:4" ht="40.5" x14ac:dyDescent="0.25">
      <c r="B10" s="289"/>
      <c r="C10" s="207" t="s">
        <v>298</v>
      </c>
      <c r="D10" s="286"/>
    </row>
    <row r="11" spans="2:4" ht="40.5" x14ac:dyDescent="0.25">
      <c r="B11" s="289"/>
      <c r="C11" s="207" t="s">
        <v>299</v>
      </c>
      <c r="D11" s="285" t="s">
        <v>300</v>
      </c>
    </row>
    <row r="12" spans="2:4" ht="60.75" x14ac:dyDescent="0.25">
      <c r="B12" s="289"/>
      <c r="C12" s="207" t="s">
        <v>301</v>
      </c>
      <c r="D12" s="287"/>
    </row>
    <row r="13" spans="2:4" ht="20.25" x14ac:dyDescent="0.25">
      <c r="B13" s="290"/>
      <c r="C13" s="207" t="s">
        <v>302</v>
      </c>
      <c r="D13" s="286"/>
    </row>
    <row r="14" spans="2:4" ht="15.75" x14ac:dyDescent="0.25">
      <c r="B14" s="288" t="s">
        <v>215</v>
      </c>
      <c r="C14" s="138" t="s">
        <v>216</v>
      </c>
      <c r="D14" s="138" t="s">
        <v>217</v>
      </c>
    </row>
    <row r="15" spans="2:4" ht="81" x14ac:dyDescent="0.25">
      <c r="B15" s="289"/>
      <c r="C15" s="139" t="s">
        <v>303</v>
      </c>
      <c r="D15" s="140" t="s">
        <v>304</v>
      </c>
    </row>
    <row r="16" spans="2:4" ht="81" x14ac:dyDescent="0.25">
      <c r="B16" s="289"/>
      <c r="C16" s="139" t="s">
        <v>305</v>
      </c>
      <c r="D16" s="208" t="s">
        <v>306</v>
      </c>
    </row>
    <row r="17" spans="2:4" ht="60.75" x14ac:dyDescent="0.25">
      <c r="B17" s="289"/>
      <c r="C17" s="139" t="s">
        <v>307</v>
      </c>
      <c r="D17" s="285" t="s">
        <v>308</v>
      </c>
    </row>
    <row r="18" spans="2:4" ht="40.5" x14ac:dyDescent="0.25">
      <c r="B18" s="290"/>
      <c r="C18" s="139" t="s">
        <v>309</v>
      </c>
      <c r="D18" s="286"/>
    </row>
  </sheetData>
  <mergeCells count="7">
    <mergeCell ref="B4:D4"/>
    <mergeCell ref="D7:D8"/>
    <mergeCell ref="D9:D10"/>
    <mergeCell ref="D11:D13"/>
    <mergeCell ref="D17:D18"/>
    <mergeCell ref="B6:B13"/>
    <mergeCell ref="B14: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44"/>
  <sheetViews>
    <sheetView showGridLines="0" tabSelected="1" topLeftCell="A11" zoomScale="80" zoomScaleNormal="80" workbookViewId="0">
      <selection activeCell="C19" sqref="C19:N19"/>
    </sheetView>
  </sheetViews>
  <sheetFormatPr baseColWidth="10" defaultColWidth="11.42578125" defaultRowHeight="16.5" x14ac:dyDescent="0.3"/>
  <cols>
    <col min="1" max="1" width="4" style="2" bestFit="1" customWidth="1"/>
    <col min="2" max="2" width="14.140625" style="2" customWidth="1"/>
    <col min="3" max="3" width="27.85546875" style="2" customWidth="1"/>
    <col min="4" max="4" width="27.42578125" style="2" customWidth="1"/>
    <col min="5" max="5" width="42.5703125" style="1" customWidth="1"/>
    <col min="6" max="6" width="19" style="5" customWidth="1"/>
    <col min="7" max="7" width="17.85546875" style="1" customWidth="1"/>
    <col min="8" max="8" width="16.42578125" style="1" customWidth="1"/>
    <col min="9" max="9" width="6.42578125" style="1" bestFit="1" customWidth="1"/>
    <col min="10" max="10" width="27.42578125" style="1" bestFit="1" customWidth="1"/>
    <col min="11" max="11" width="30.42578125" style="1" hidden="1" customWidth="1"/>
    <col min="12" max="12" width="17.42578125" style="1" customWidth="1"/>
    <col min="13" max="13" width="6.42578125" style="1" bestFit="1" customWidth="1"/>
    <col min="14" max="14" width="12.5703125" style="1" customWidth="1"/>
    <col min="15" max="15" width="21.5703125" style="1" customWidth="1"/>
    <col min="16" max="16" width="66.140625" style="1" customWidth="1"/>
    <col min="17" max="17" width="15.140625" style="1" bestFit="1" customWidth="1"/>
    <col min="18" max="18" width="6.85546875" style="1" customWidth="1"/>
    <col min="19" max="19" width="12" style="1" customWidth="1"/>
    <col min="20" max="20" width="5.42578125" style="1" customWidth="1"/>
    <col min="21" max="21" width="7.140625" style="1" customWidth="1"/>
    <col min="22" max="22" width="6.5703125" style="1" customWidth="1"/>
    <col min="23" max="23" width="7.42578125" style="1" customWidth="1"/>
    <col min="24" max="24" width="38.42578125" style="1" hidden="1" customWidth="1"/>
    <col min="25" max="25" width="8.5703125" style="1" customWidth="1"/>
    <col min="26" max="26" width="10.42578125" style="1" customWidth="1"/>
    <col min="27" max="27" width="9.42578125" style="1" customWidth="1"/>
    <col min="28" max="28" width="9.140625" style="1" customWidth="1"/>
    <col min="29" max="29" width="8.42578125" style="1" customWidth="1"/>
    <col min="30" max="30" width="7.42578125" style="1" customWidth="1"/>
    <col min="31" max="31" width="23" style="1" customWidth="1"/>
    <col min="32" max="32" width="18.85546875" style="1" customWidth="1"/>
    <col min="33" max="33" width="27.5703125" style="1" customWidth="1"/>
    <col min="34" max="34" width="14.85546875" style="1" customWidth="1"/>
    <col min="35" max="35" width="18.42578125" style="1" customWidth="1"/>
    <col min="36" max="36" width="21" style="1" customWidth="1"/>
    <col min="37" max="16384" width="11.42578125" style="1"/>
  </cols>
  <sheetData>
    <row r="1" spans="1:68" ht="36.950000000000003" customHeight="1" x14ac:dyDescent="0.3">
      <c r="A1" s="358" t="s">
        <v>229</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143" t="s">
        <v>219</v>
      </c>
      <c r="AG1" s="148" t="s">
        <v>220</v>
      </c>
      <c r="AH1" s="175"/>
      <c r="AI1" s="175"/>
      <c r="AJ1" s="175"/>
      <c r="AK1" s="175"/>
      <c r="AL1" s="141"/>
      <c r="AM1" s="141"/>
      <c r="AN1" s="141"/>
      <c r="AO1" s="141"/>
      <c r="AP1" s="142"/>
      <c r="AQ1" s="142"/>
      <c r="AR1" s="142"/>
      <c r="AS1" s="142"/>
      <c r="AT1" s="142"/>
      <c r="AU1" s="142"/>
      <c r="AV1" s="142"/>
      <c r="AW1" s="142"/>
      <c r="AX1" s="142"/>
      <c r="AY1" s="142"/>
      <c r="AZ1" s="142"/>
    </row>
    <row r="2" spans="1:68" x14ac:dyDescent="0.3">
      <c r="A2" s="358"/>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143" t="s">
        <v>221</v>
      </c>
      <c r="AG2" s="148">
        <v>6</v>
      </c>
      <c r="AH2" s="144"/>
      <c r="AI2" s="145"/>
      <c r="AJ2" s="145"/>
      <c r="AK2" s="146"/>
      <c r="AL2" s="145"/>
      <c r="AM2" s="145"/>
      <c r="AN2" s="142"/>
      <c r="AO2" s="147"/>
      <c r="AP2" s="142"/>
      <c r="AQ2" s="142"/>
      <c r="AR2" s="142"/>
      <c r="AS2" s="142"/>
      <c r="AT2" s="142"/>
      <c r="AU2" s="142"/>
      <c r="AV2" s="142"/>
      <c r="AW2" s="142"/>
      <c r="AX2" s="142"/>
      <c r="AY2" s="142"/>
      <c r="AZ2" s="142"/>
    </row>
    <row r="3" spans="1:68" x14ac:dyDescent="0.3">
      <c r="A3" s="358"/>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143" t="s">
        <v>222</v>
      </c>
      <c r="AG3" s="150" t="s">
        <v>288</v>
      </c>
      <c r="AH3" s="144"/>
      <c r="AI3" s="145"/>
      <c r="AJ3" s="145"/>
      <c r="AK3" s="146"/>
      <c r="AL3" s="145"/>
      <c r="AM3" s="145"/>
      <c r="AN3" s="142"/>
      <c r="AO3" s="147"/>
      <c r="AP3" s="142"/>
      <c r="AQ3" s="142"/>
      <c r="AR3" s="142"/>
      <c r="AS3" s="142"/>
      <c r="AT3" s="142"/>
      <c r="AU3" s="142"/>
      <c r="AV3" s="142"/>
      <c r="AW3" s="142"/>
      <c r="AX3" s="142"/>
      <c r="AY3" s="142"/>
      <c r="AZ3" s="142"/>
    </row>
    <row r="4" spans="1:68" ht="15.95" customHeight="1" x14ac:dyDescent="0.3">
      <c r="A4" s="358"/>
      <c r="B4" s="358"/>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152" t="s">
        <v>223</v>
      </c>
      <c r="AG4" s="204">
        <v>241903</v>
      </c>
      <c r="AH4" s="144"/>
      <c r="AI4" s="145"/>
      <c r="AJ4" s="145"/>
      <c r="AK4" s="146"/>
      <c r="AL4" s="145"/>
      <c r="AM4" s="145"/>
      <c r="AN4" s="142"/>
      <c r="AO4" s="147"/>
      <c r="AP4" s="142"/>
      <c r="AQ4" s="142"/>
      <c r="AR4" s="142"/>
      <c r="AS4" s="142"/>
      <c r="AT4" s="142"/>
      <c r="AU4" s="142"/>
      <c r="AV4" s="142"/>
      <c r="AW4" s="142"/>
      <c r="AX4" s="142"/>
      <c r="AY4" s="142"/>
      <c r="AZ4" s="142"/>
    </row>
    <row r="5" spans="1:68" ht="24" customHeight="1" x14ac:dyDescent="0.3">
      <c r="A5" s="358"/>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H5" s="144"/>
      <c r="AI5" s="145"/>
      <c r="AJ5" s="145"/>
      <c r="AK5" s="146"/>
      <c r="AL5" s="145"/>
      <c r="AM5" s="145"/>
      <c r="AN5" s="142"/>
      <c r="AO5" s="147"/>
      <c r="AP5" s="142"/>
      <c r="AQ5" s="142"/>
      <c r="AR5" s="142"/>
      <c r="AS5" s="142"/>
      <c r="AT5" s="142"/>
      <c r="AU5" s="142"/>
      <c r="AV5" s="142"/>
      <c r="AW5" s="142"/>
      <c r="AX5" s="142"/>
      <c r="AY5" s="142"/>
      <c r="AZ5" s="142"/>
    </row>
    <row r="6" spans="1:68" x14ac:dyDescent="0.3">
      <c r="A6" s="149"/>
      <c r="B6" s="149"/>
      <c r="C6" s="174"/>
      <c r="D6" s="151"/>
      <c r="E6" s="151"/>
      <c r="F6" s="151"/>
      <c r="G6" s="151"/>
      <c r="H6" s="151"/>
      <c r="I6" s="151"/>
      <c r="J6" s="151"/>
      <c r="K6" s="172"/>
      <c r="L6" s="151"/>
      <c r="M6" s="142"/>
      <c r="N6" s="142"/>
      <c r="O6" s="142"/>
      <c r="P6" s="151"/>
      <c r="Q6" s="149"/>
      <c r="R6" s="149"/>
      <c r="S6" s="149"/>
      <c r="T6" s="153"/>
      <c r="U6" s="153"/>
      <c r="V6" s="153"/>
      <c r="W6" s="153"/>
      <c r="X6" s="153"/>
      <c r="Y6" s="153"/>
      <c r="Z6" s="153"/>
      <c r="AA6" s="154"/>
      <c r="AB6" s="154"/>
      <c r="AC6" s="154"/>
      <c r="AD6" s="154"/>
      <c r="AE6" s="154"/>
      <c r="AH6" s="155"/>
      <c r="AI6" s="156"/>
      <c r="AJ6" s="156"/>
      <c r="AK6" s="156"/>
      <c r="AL6" s="156"/>
      <c r="AM6" s="156"/>
      <c r="AN6" s="157"/>
      <c r="AO6" s="157"/>
      <c r="AP6" s="157"/>
      <c r="AQ6" s="157"/>
      <c r="AR6" s="154"/>
      <c r="AS6" s="154"/>
      <c r="AT6" s="154"/>
      <c r="AU6" s="154"/>
      <c r="AV6" s="154"/>
      <c r="AW6" s="154"/>
      <c r="AX6" s="154"/>
      <c r="AY6" s="154"/>
      <c r="AZ6" s="154"/>
    </row>
    <row r="7" spans="1:68" ht="27.95" customHeight="1" x14ac:dyDescent="0.3">
      <c r="A7" s="161"/>
      <c r="B7" s="161"/>
      <c r="C7" s="142"/>
      <c r="D7" s="142"/>
      <c r="E7" s="142"/>
      <c r="F7" s="142"/>
      <c r="G7" s="142"/>
      <c r="H7" s="142"/>
      <c r="I7" s="142"/>
      <c r="J7" s="142"/>
      <c r="L7" s="142"/>
      <c r="M7" s="142"/>
      <c r="N7" s="362" t="s">
        <v>224</v>
      </c>
      <c r="O7" s="362"/>
      <c r="P7" s="362"/>
      <c r="Q7" s="362"/>
      <c r="R7" s="362"/>
      <c r="S7" s="362"/>
      <c r="T7" s="143"/>
      <c r="U7" s="143"/>
      <c r="V7" s="143"/>
      <c r="W7" s="143"/>
      <c r="X7" s="143"/>
      <c r="Y7" s="143"/>
      <c r="Z7" s="143"/>
      <c r="AA7" s="158"/>
      <c r="AB7" s="158"/>
      <c r="AC7" s="158"/>
      <c r="AD7" s="158"/>
      <c r="AE7" s="158"/>
      <c r="AF7" s="158"/>
      <c r="AG7" s="158"/>
      <c r="AH7" s="144"/>
      <c r="AI7" s="145"/>
      <c r="AJ7" s="145"/>
      <c r="AK7" s="145"/>
      <c r="AL7" s="145"/>
      <c r="AM7" s="145"/>
      <c r="AN7" s="159">
        <v>0</v>
      </c>
      <c r="AO7" s="160"/>
      <c r="AP7" s="159"/>
      <c r="AQ7" s="159"/>
      <c r="AR7" s="142"/>
      <c r="AS7" s="142"/>
      <c r="AT7" s="142"/>
      <c r="AU7" s="142"/>
      <c r="AV7" s="142"/>
      <c r="AW7" s="142"/>
      <c r="AX7" s="142"/>
      <c r="AY7" s="142"/>
      <c r="AZ7" s="142"/>
    </row>
    <row r="8" spans="1:68" ht="16.5" customHeight="1" x14ac:dyDescent="0.3">
      <c r="A8" s="161"/>
      <c r="B8" s="161"/>
      <c r="C8" s="142"/>
      <c r="D8" s="142"/>
      <c r="E8" s="142"/>
      <c r="F8" s="142"/>
      <c r="G8" s="142"/>
      <c r="H8" s="142"/>
      <c r="I8" s="142"/>
      <c r="J8" s="142"/>
      <c r="L8" s="142"/>
      <c r="M8" s="142"/>
      <c r="N8" s="173" t="s">
        <v>225</v>
      </c>
      <c r="O8" s="173" t="s">
        <v>226</v>
      </c>
      <c r="P8" s="364" t="s">
        <v>227</v>
      </c>
      <c r="Q8" s="365"/>
      <c r="R8" s="365"/>
      <c r="S8" s="366"/>
      <c r="T8" s="143"/>
      <c r="U8" s="143"/>
      <c r="V8" s="143"/>
      <c r="W8" s="143"/>
      <c r="X8" s="143"/>
      <c r="Y8" s="143"/>
      <c r="Z8" s="143"/>
      <c r="AA8" s="158"/>
      <c r="AB8" s="158"/>
      <c r="AC8" s="158"/>
      <c r="AD8" s="158"/>
      <c r="AE8" s="158"/>
      <c r="AF8" s="158"/>
      <c r="AG8" s="158"/>
      <c r="AH8" s="144"/>
      <c r="AI8" s="145"/>
      <c r="AJ8" s="145"/>
      <c r="AK8" s="145"/>
      <c r="AL8" s="145"/>
      <c r="AM8" s="145"/>
      <c r="AN8" s="159">
        <v>0</v>
      </c>
      <c r="AO8" s="160"/>
      <c r="AP8" s="159"/>
      <c r="AQ8" s="159"/>
      <c r="AR8" s="142"/>
      <c r="AS8" s="142"/>
      <c r="AT8" s="142"/>
      <c r="AU8" s="142"/>
      <c r="AV8" s="142"/>
      <c r="AW8" s="142"/>
      <c r="AX8" s="142"/>
      <c r="AY8" s="142"/>
      <c r="AZ8" s="142"/>
    </row>
    <row r="9" spans="1:68" ht="35.25" customHeight="1" x14ac:dyDescent="0.3">
      <c r="A9" s="161"/>
      <c r="B9" s="161"/>
      <c r="C9" s="142"/>
      <c r="D9" s="142"/>
      <c r="E9" s="142"/>
      <c r="F9" s="142"/>
      <c r="G9" s="142"/>
      <c r="H9" s="142"/>
      <c r="I9" s="142"/>
      <c r="J9" s="142"/>
      <c r="L9" s="142"/>
      <c r="M9" s="142"/>
      <c r="N9" s="205">
        <v>5</v>
      </c>
      <c r="O9" s="206">
        <v>42311</v>
      </c>
      <c r="P9" s="367" t="s">
        <v>289</v>
      </c>
      <c r="Q9" s="368"/>
      <c r="R9" s="368"/>
      <c r="S9" s="369"/>
      <c r="T9" s="143"/>
      <c r="U9" s="143"/>
      <c r="V9" s="143"/>
      <c r="W9" s="363"/>
      <c r="X9" s="363"/>
      <c r="Y9" s="363"/>
      <c r="Z9" s="363"/>
      <c r="AA9" s="363"/>
      <c r="AB9" s="363"/>
      <c r="AC9" s="167"/>
      <c r="AD9" s="167"/>
      <c r="AE9" s="167"/>
      <c r="AF9" s="142"/>
      <c r="AG9" s="142"/>
      <c r="AH9" s="144"/>
      <c r="AI9" s="145"/>
      <c r="AJ9" s="145"/>
      <c r="AK9" s="145"/>
      <c r="AL9" s="145"/>
      <c r="AM9" s="145"/>
      <c r="AN9" s="159">
        <v>0</v>
      </c>
      <c r="AO9" s="160"/>
      <c r="AP9" s="159"/>
      <c r="AQ9" s="159"/>
      <c r="AR9" s="142"/>
      <c r="AS9" s="142"/>
      <c r="AT9" s="142"/>
      <c r="AU9" s="142"/>
      <c r="AV9" s="142"/>
      <c r="AW9" s="142"/>
      <c r="AX9" s="142"/>
      <c r="AY9" s="142"/>
      <c r="AZ9" s="142"/>
    </row>
    <row r="10" spans="1:68" ht="92.25" customHeight="1" x14ac:dyDescent="0.3">
      <c r="A10" s="161"/>
      <c r="B10" s="161"/>
      <c r="C10" s="142"/>
      <c r="D10" s="142"/>
      <c r="E10" s="142"/>
      <c r="F10" s="142"/>
      <c r="G10" s="142"/>
      <c r="H10" s="142"/>
      <c r="I10" s="142"/>
      <c r="J10" s="142"/>
      <c r="L10" s="142"/>
      <c r="M10" s="142"/>
      <c r="N10" s="205">
        <v>1</v>
      </c>
      <c r="O10" s="206">
        <v>43000</v>
      </c>
      <c r="P10" s="367" t="s">
        <v>290</v>
      </c>
      <c r="Q10" s="368"/>
      <c r="R10" s="368"/>
      <c r="S10" s="369"/>
      <c r="T10" s="143"/>
      <c r="U10" s="143"/>
      <c r="V10" s="143"/>
      <c r="W10" s="167"/>
      <c r="X10" s="167"/>
      <c r="Y10" s="167"/>
      <c r="Z10" s="167"/>
      <c r="AA10" s="167"/>
      <c r="AB10" s="167"/>
      <c r="AC10" s="167"/>
      <c r="AD10" s="167"/>
      <c r="AE10" s="167"/>
      <c r="AF10" s="142"/>
      <c r="AG10" s="142"/>
      <c r="AH10" s="144"/>
      <c r="AI10" s="145"/>
      <c r="AJ10" s="145"/>
      <c r="AK10" s="145"/>
      <c r="AL10" s="145"/>
      <c r="AM10" s="145"/>
      <c r="AN10" s="159"/>
      <c r="AO10" s="160"/>
      <c r="AP10" s="159"/>
      <c r="AQ10" s="159"/>
      <c r="AR10" s="142"/>
      <c r="AS10" s="142"/>
      <c r="AT10" s="142"/>
      <c r="AU10" s="142"/>
      <c r="AV10" s="142"/>
      <c r="AW10" s="142"/>
      <c r="AX10" s="142"/>
      <c r="AY10" s="142"/>
      <c r="AZ10" s="142"/>
    </row>
    <row r="11" spans="1:68" ht="125.25" customHeight="1" x14ac:dyDescent="0.3">
      <c r="A11" s="161"/>
      <c r="B11" s="161"/>
      <c r="C11" s="142"/>
      <c r="D11" s="142"/>
      <c r="E11" s="142"/>
      <c r="F11" s="142"/>
      <c r="G11" s="142"/>
      <c r="H11" s="142"/>
      <c r="I11" s="142"/>
      <c r="J11" s="142"/>
      <c r="L11" s="142"/>
      <c r="M11" s="142"/>
      <c r="N11" s="205">
        <v>2</v>
      </c>
      <c r="O11" s="206">
        <v>43759</v>
      </c>
      <c r="P11" s="367" t="s">
        <v>291</v>
      </c>
      <c r="Q11" s="368"/>
      <c r="R11" s="368"/>
      <c r="S11" s="369"/>
      <c r="T11" s="143"/>
      <c r="U11" s="143"/>
      <c r="V11" s="143"/>
      <c r="W11" s="167"/>
      <c r="X11" s="167"/>
      <c r="Y11" s="167"/>
      <c r="Z11" s="167"/>
      <c r="AA11" s="167"/>
      <c r="AB11" s="167"/>
      <c r="AC11" s="167"/>
      <c r="AD11" s="167"/>
      <c r="AE11" s="167"/>
      <c r="AF11" s="142"/>
      <c r="AG11" s="142"/>
      <c r="AH11" s="144"/>
      <c r="AI11" s="145"/>
      <c r="AJ11" s="145"/>
      <c r="AK11" s="145"/>
      <c r="AL11" s="145"/>
      <c r="AM11" s="145"/>
      <c r="AN11" s="159"/>
      <c r="AO11" s="160"/>
      <c r="AP11" s="159"/>
      <c r="AQ11" s="159"/>
      <c r="AR11" s="142"/>
      <c r="AS11" s="142"/>
      <c r="AT11" s="142"/>
      <c r="AU11" s="142"/>
      <c r="AV11" s="142"/>
      <c r="AW11" s="142"/>
      <c r="AX11" s="142"/>
      <c r="AY11" s="142"/>
      <c r="AZ11" s="142"/>
    </row>
    <row r="12" spans="1:68" ht="99.75" customHeight="1" x14ac:dyDescent="0.3">
      <c r="A12" s="161"/>
      <c r="B12" s="161"/>
      <c r="C12" s="142"/>
      <c r="D12" s="142"/>
      <c r="E12" s="142"/>
      <c r="F12" s="142"/>
      <c r="G12" s="142"/>
      <c r="H12" s="142"/>
      <c r="I12" s="142"/>
      <c r="J12" s="142"/>
      <c r="L12" s="143"/>
      <c r="M12" s="143"/>
      <c r="N12" s="205">
        <v>3</v>
      </c>
      <c r="O12" s="206">
        <v>44201</v>
      </c>
      <c r="P12" s="367" t="s">
        <v>292</v>
      </c>
      <c r="Q12" s="368"/>
      <c r="R12" s="368"/>
      <c r="S12" s="369"/>
      <c r="T12" s="143"/>
      <c r="U12" s="143"/>
      <c r="V12" s="143"/>
      <c r="W12" s="359"/>
      <c r="X12" s="359"/>
      <c r="Y12" s="359"/>
      <c r="Z12" s="359"/>
      <c r="AA12" s="359"/>
      <c r="AB12" s="359"/>
      <c r="AC12" s="168"/>
      <c r="AD12" s="168"/>
      <c r="AE12" s="169"/>
      <c r="AF12" s="142"/>
      <c r="AG12" s="142"/>
      <c r="AH12" s="144"/>
      <c r="AI12" s="145"/>
      <c r="AJ12" s="145"/>
      <c r="AK12" s="145"/>
      <c r="AL12" s="145"/>
      <c r="AM12" s="145"/>
      <c r="AN12" s="159">
        <v>0</v>
      </c>
      <c r="AO12" s="160"/>
      <c r="AP12" s="159"/>
      <c r="AQ12" s="159"/>
      <c r="AR12" s="142"/>
      <c r="AS12" s="142"/>
      <c r="AT12" s="142"/>
      <c r="AU12" s="142"/>
      <c r="AV12" s="142"/>
      <c r="AW12" s="142"/>
      <c r="AX12" s="142"/>
      <c r="AY12" s="142"/>
      <c r="AZ12" s="142"/>
    </row>
    <row r="13" spans="1:68" ht="99.75" customHeight="1" x14ac:dyDescent="0.3">
      <c r="A13" s="161"/>
      <c r="B13" s="161"/>
      <c r="C13" s="142"/>
      <c r="D13" s="142"/>
      <c r="E13" s="142"/>
      <c r="F13" s="142"/>
      <c r="G13" s="142"/>
      <c r="H13" s="142"/>
      <c r="I13" s="142"/>
      <c r="J13" s="142"/>
      <c r="L13" s="143"/>
      <c r="M13" s="143"/>
      <c r="N13" s="205">
        <v>4</v>
      </c>
      <c r="O13" s="220">
        <v>44679</v>
      </c>
      <c r="P13" s="375" t="s">
        <v>324</v>
      </c>
      <c r="Q13" s="376"/>
      <c r="R13" s="376"/>
      <c r="S13" s="377"/>
      <c r="T13" s="143"/>
      <c r="U13" s="143"/>
      <c r="V13" s="143"/>
      <c r="W13" s="168"/>
      <c r="X13" s="168"/>
      <c r="Y13" s="168"/>
      <c r="Z13" s="168"/>
      <c r="AA13" s="168"/>
      <c r="AB13" s="168"/>
      <c r="AC13" s="168"/>
      <c r="AD13" s="168"/>
      <c r="AE13" s="169"/>
      <c r="AF13" s="142"/>
      <c r="AG13" s="142"/>
      <c r="AH13" s="144"/>
      <c r="AI13" s="145"/>
      <c r="AJ13" s="145"/>
      <c r="AK13" s="145"/>
      <c r="AL13" s="145"/>
      <c r="AM13" s="145"/>
      <c r="AN13" s="159"/>
      <c r="AO13" s="160"/>
      <c r="AP13" s="159"/>
      <c r="AQ13" s="159"/>
      <c r="AR13" s="142"/>
      <c r="AS13" s="142"/>
      <c r="AT13" s="142"/>
      <c r="AU13" s="142"/>
      <c r="AV13" s="142"/>
      <c r="AW13" s="142"/>
      <c r="AX13" s="142"/>
      <c r="AY13" s="142"/>
      <c r="AZ13" s="142"/>
    </row>
    <row r="14" spans="1:68" ht="79.5" customHeight="1" x14ac:dyDescent="0.3">
      <c r="A14" s="161"/>
      <c r="B14" s="161"/>
      <c r="C14" s="161"/>
      <c r="D14" s="161"/>
      <c r="E14" s="161"/>
      <c r="F14" s="142"/>
      <c r="G14" s="142"/>
      <c r="H14" s="142"/>
      <c r="I14" s="163"/>
      <c r="J14" s="163"/>
      <c r="K14" s="143"/>
      <c r="L14" s="143"/>
      <c r="M14" s="143"/>
      <c r="N14" s="205">
        <v>5</v>
      </c>
      <c r="O14" s="220">
        <v>45929</v>
      </c>
      <c r="P14" s="375" t="s">
        <v>332</v>
      </c>
      <c r="Q14" s="376"/>
      <c r="R14" s="376"/>
      <c r="S14" s="377"/>
      <c r="T14" s="143"/>
      <c r="U14" s="143"/>
      <c r="V14" s="143"/>
      <c r="W14" s="360"/>
      <c r="X14" s="360"/>
      <c r="Y14" s="360"/>
      <c r="Z14" s="360"/>
      <c r="AA14" s="360"/>
      <c r="AB14" s="360"/>
      <c r="AC14" s="170"/>
      <c r="AD14" s="170"/>
      <c r="AE14" s="171"/>
      <c r="AF14" s="164"/>
      <c r="AG14" s="158"/>
      <c r="AH14" s="144"/>
      <c r="AI14" s="145"/>
      <c r="AJ14" s="145"/>
      <c r="AK14" s="145"/>
      <c r="AL14" s="145"/>
      <c r="AM14" s="145"/>
      <c r="AN14" s="159">
        <v>0</v>
      </c>
      <c r="AO14" s="160"/>
      <c r="AP14" s="159"/>
      <c r="AQ14" s="159"/>
      <c r="AR14" s="142"/>
      <c r="AS14" s="142"/>
      <c r="AT14" s="142"/>
      <c r="AU14" s="142"/>
      <c r="AV14" s="142"/>
      <c r="AW14" s="142"/>
      <c r="AX14" s="142"/>
      <c r="AY14" s="142"/>
      <c r="AZ14" s="142"/>
    </row>
    <row r="15" spans="1:68" ht="18.75" x14ac:dyDescent="0.3">
      <c r="A15" s="361" t="s">
        <v>228</v>
      </c>
      <c r="B15" s="361"/>
      <c r="C15" s="361"/>
      <c r="D15" s="361"/>
      <c r="E15" s="361"/>
      <c r="F15" s="361"/>
      <c r="G15" s="361"/>
      <c r="H15" s="361"/>
      <c r="I15" s="361"/>
      <c r="J15" s="361"/>
      <c r="K15" s="143"/>
      <c r="L15" s="143"/>
      <c r="M15" s="143"/>
      <c r="N15" s="143"/>
      <c r="O15" s="162"/>
      <c r="P15" s="143"/>
      <c r="Q15" s="143"/>
      <c r="R15" s="143"/>
      <c r="S15" s="143"/>
      <c r="T15" s="143"/>
      <c r="U15" s="143"/>
      <c r="V15" s="143"/>
      <c r="W15" s="158"/>
      <c r="X15" s="158"/>
      <c r="Y15" s="158"/>
      <c r="Z15" s="158"/>
      <c r="AA15" s="158"/>
      <c r="AB15" s="165"/>
      <c r="AC15" s="165"/>
      <c r="AD15" s="165"/>
      <c r="AE15" s="165"/>
      <c r="AF15" s="166"/>
      <c r="AG15" s="166"/>
      <c r="AH15" s="145"/>
      <c r="AI15" s="145"/>
      <c r="AJ15" s="145"/>
      <c r="AK15" s="145"/>
      <c r="AL15" s="145"/>
      <c r="AM15" s="146"/>
      <c r="AN15" s="159"/>
      <c r="AO15" s="159"/>
      <c r="AP15" s="142"/>
      <c r="AQ15" s="142"/>
      <c r="AR15" s="142"/>
      <c r="AS15" s="142"/>
      <c r="AT15" s="142"/>
      <c r="AU15" s="142"/>
      <c r="AV15" s="142"/>
      <c r="AW15" s="142"/>
      <c r="AX15" s="142"/>
      <c r="AY15" s="142"/>
      <c r="AZ15" s="142"/>
    </row>
    <row r="16" spans="1:68" ht="16.5" customHeight="1" x14ac:dyDescent="0.3">
      <c r="A16" s="378"/>
      <c r="B16" s="379"/>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80"/>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24" customHeight="1" x14ac:dyDescent="0.3">
      <c r="A17" s="381"/>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3"/>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x14ac:dyDescent="0.3">
      <c r="A18" s="28"/>
      <c r="B18" s="29"/>
      <c r="C18" s="28"/>
      <c r="D18" s="28"/>
      <c r="E18" s="8"/>
      <c r="F18" s="27"/>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26.25" customHeight="1" x14ac:dyDescent="0.3">
      <c r="A19" s="370" t="s">
        <v>58</v>
      </c>
      <c r="B19" s="371"/>
      <c r="C19" s="293" t="s">
        <v>310</v>
      </c>
      <c r="D19" s="294"/>
      <c r="E19" s="294"/>
      <c r="F19" s="294"/>
      <c r="G19" s="294"/>
      <c r="H19" s="294"/>
      <c r="I19" s="294"/>
      <c r="J19" s="294"/>
      <c r="K19" s="294"/>
      <c r="L19" s="294"/>
      <c r="M19" s="294"/>
      <c r="N19" s="295"/>
      <c r="O19" s="296"/>
      <c r="P19" s="296"/>
      <c r="Q19" s="296"/>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59.25" customHeight="1" x14ac:dyDescent="0.3">
      <c r="A20" s="370" t="s">
        <v>59</v>
      </c>
      <c r="B20" s="371"/>
      <c r="C20" s="348" t="s">
        <v>311</v>
      </c>
      <c r="D20" s="349"/>
      <c r="E20" s="349"/>
      <c r="F20" s="349"/>
      <c r="G20" s="349"/>
      <c r="H20" s="349"/>
      <c r="I20" s="349"/>
      <c r="J20" s="349"/>
      <c r="K20" s="349"/>
      <c r="L20" s="349"/>
      <c r="M20" s="349"/>
      <c r="N20" s="350"/>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49.5" customHeight="1" x14ac:dyDescent="0.3">
      <c r="A21" s="370" t="s">
        <v>60</v>
      </c>
      <c r="B21" s="371"/>
      <c r="C21" s="348" t="s">
        <v>312</v>
      </c>
      <c r="D21" s="349"/>
      <c r="E21" s="349"/>
      <c r="F21" s="349"/>
      <c r="G21" s="349"/>
      <c r="H21" s="349"/>
      <c r="I21" s="349"/>
      <c r="J21" s="349"/>
      <c r="K21" s="349"/>
      <c r="L21" s="349"/>
      <c r="M21" s="349"/>
      <c r="N21" s="350"/>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x14ac:dyDescent="0.3">
      <c r="A22" s="309" t="s">
        <v>61</v>
      </c>
      <c r="B22" s="310"/>
      <c r="C22" s="310"/>
      <c r="D22" s="310"/>
      <c r="E22" s="310"/>
      <c r="F22" s="310"/>
      <c r="G22" s="311"/>
      <c r="H22" s="309" t="s">
        <v>62</v>
      </c>
      <c r="I22" s="310"/>
      <c r="J22" s="310"/>
      <c r="K22" s="310"/>
      <c r="L22" s="310"/>
      <c r="M22" s="310"/>
      <c r="N22" s="311"/>
      <c r="O22" s="309" t="s">
        <v>63</v>
      </c>
      <c r="P22" s="310"/>
      <c r="Q22" s="310"/>
      <c r="R22" s="310"/>
      <c r="S22" s="310"/>
      <c r="T22" s="310"/>
      <c r="U22" s="310"/>
      <c r="V22" s="310"/>
      <c r="W22" s="311"/>
      <c r="X22" s="309" t="s">
        <v>64</v>
      </c>
      <c r="Y22" s="310"/>
      <c r="Z22" s="310"/>
      <c r="AA22" s="310"/>
      <c r="AB22" s="310"/>
      <c r="AC22" s="310"/>
      <c r="AD22" s="311"/>
      <c r="AE22" s="309" t="s">
        <v>65</v>
      </c>
      <c r="AF22" s="310"/>
      <c r="AG22" s="310"/>
      <c r="AH22" s="310"/>
      <c r="AI22" s="310"/>
      <c r="AJ22" s="311"/>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6.5" customHeight="1" x14ac:dyDescent="0.3">
      <c r="A23" s="372" t="s">
        <v>66</v>
      </c>
      <c r="B23" s="356" t="s">
        <v>13</v>
      </c>
      <c r="C23" s="345" t="s">
        <v>15</v>
      </c>
      <c r="D23" s="345" t="s">
        <v>17</v>
      </c>
      <c r="E23" s="374" t="s">
        <v>19</v>
      </c>
      <c r="F23" s="357" t="s">
        <v>21</v>
      </c>
      <c r="G23" s="345" t="s">
        <v>67</v>
      </c>
      <c r="H23" s="352" t="s">
        <v>68</v>
      </c>
      <c r="I23" s="353" t="s">
        <v>69</v>
      </c>
      <c r="J23" s="357" t="s">
        <v>70</v>
      </c>
      <c r="K23" s="357" t="s">
        <v>71</v>
      </c>
      <c r="L23" s="355" t="s">
        <v>72</v>
      </c>
      <c r="M23" s="353" t="s">
        <v>69</v>
      </c>
      <c r="N23" s="345" t="s">
        <v>27</v>
      </c>
      <c r="O23" s="346" t="s">
        <v>73</v>
      </c>
      <c r="P23" s="297" t="s">
        <v>29</v>
      </c>
      <c r="Q23" s="357" t="s">
        <v>31</v>
      </c>
      <c r="R23" s="297" t="s">
        <v>74</v>
      </c>
      <c r="S23" s="297"/>
      <c r="T23" s="297"/>
      <c r="U23" s="297"/>
      <c r="V23" s="297"/>
      <c r="W23" s="297"/>
      <c r="X23" s="351" t="s">
        <v>75</v>
      </c>
      <c r="Y23" s="351" t="s">
        <v>76</v>
      </c>
      <c r="Z23" s="351" t="s">
        <v>69</v>
      </c>
      <c r="AA23" s="351" t="s">
        <v>77</v>
      </c>
      <c r="AB23" s="351" t="s">
        <v>69</v>
      </c>
      <c r="AC23" s="351" t="s">
        <v>78</v>
      </c>
      <c r="AD23" s="346" t="s">
        <v>47</v>
      </c>
      <c r="AE23" s="297" t="s">
        <v>65</v>
      </c>
      <c r="AF23" s="297" t="s">
        <v>79</v>
      </c>
      <c r="AG23" s="297" t="s">
        <v>80</v>
      </c>
      <c r="AH23" s="297" t="s">
        <v>81</v>
      </c>
      <c r="AI23" s="297" t="s">
        <v>82</v>
      </c>
      <c r="AJ23" s="297" t="s">
        <v>51</v>
      </c>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s="4" customFormat="1" ht="94.5" customHeight="1" x14ac:dyDescent="0.25">
      <c r="A24" s="373"/>
      <c r="B24" s="356"/>
      <c r="C24" s="297"/>
      <c r="D24" s="297"/>
      <c r="E24" s="356"/>
      <c r="F24" s="345"/>
      <c r="G24" s="297"/>
      <c r="H24" s="345"/>
      <c r="I24" s="354"/>
      <c r="J24" s="345"/>
      <c r="K24" s="345"/>
      <c r="L24" s="354"/>
      <c r="M24" s="354"/>
      <c r="N24" s="297"/>
      <c r="O24" s="347"/>
      <c r="P24" s="297"/>
      <c r="Q24" s="345"/>
      <c r="R24" s="7" t="s">
        <v>83</v>
      </c>
      <c r="S24" s="7" t="s">
        <v>84</v>
      </c>
      <c r="T24" s="7" t="s">
        <v>85</v>
      </c>
      <c r="U24" s="7" t="s">
        <v>86</v>
      </c>
      <c r="V24" s="7" t="s">
        <v>87</v>
      </c>
      <c r="W24" s="7" t="s">
        <v>88</v>
      </c>
      <c r="X24" s="351"/>
      <c r="Y24" s="351"/>
      <c r="Z24" s="351"/>
      <c r="AA24" s="351"/>
      <c r="AB24" s="351"/>
      <c r="AC24" s="351"/>
      <c r="AD24" s="347"/>
      <c r="AE24" s="297"/>
      <c r="AF24" s="297"/>
      <c r="AG24" s="297"/>
      <c r="AH24" s="297"/>
      <c r="AI24" s="297"/>
      <c r="AJ24" s="297"/>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row>
    <row r="25" spans="1:68" s="3" customFormat="1" ht="123.75" customHeight="1" x14ac:dyDescent="0.25">
      <c r="A25" s="195">
        <v>1</v>
      </c>
      <c r="B25" s="198" t="s">
        <v>192</v>
      </c>
      <c r="C25" s="218" t="s">
        <v>313</v>
      </c>
      <c r="D25" s="202" t="s">
        <v>328</v>
      </c>
      <c r="E25" s="202" t="s">
        <v>329</v>
      </c>
      <c r="F25" s="198" t="s">
        <v>200</v>
      </c>
      <c r="G25" s="199">
        <v>15</v>
      </c>
      <c r="H25" s="200" t="str">
        <f>IF(G25&lt;=0,"",IF(G25&lt;=2,"Muy Baja",IF(G25&lt;=24,"Baja",IF(G25&lt;=500,"Media",IF(G25&lt;=5000,"Alta","Muy Alta")))))</f>
        <v>Baja</v>
      </c>
      <c r="I25" s="196">
        <f>IF(H25="","",IF(H25="Muy Baja",0.2,IF(H25="Baja",0.4,IF(H25="Media",0.6,IF(H25="Alta",0.8,IF(H25="Muy Alta",1,))))))</f>
        <v>0.4</v>
      </c>
      <c r="J25" s="203" t="s">
        <v>143</v>
      </c>
      <c r="K25" s="196" t="str">
        <f>IF(NOT(ISERROR(MATCH(J25,'Tabla Impacto'!$B$221:$B$223,0))),'Tabla Impacto'!$F$228&amp;"Por favor no seleccionar los criterios de impacto(Afectación Económica o presupuestal y Pérdida Reputacional)",J25)</f>
        <v xml:space="preserve">     El riesgo afecta la imagen de alguna área de la organización</v>
      </c>
      <c r="L25" s="200" t="str">
        <f>IF(OR(K25='Tabla Impacto'!$C$11,K25='Tabla Impacto'!$D$11),"Leve",IF(OR(K25='Tabla Impacto'!$C$12,K25='Tabla Impacto'!$D$12),"Menor",IF(OR(K25='Tabla Impacto'!$C$13,K25='Tabla Impacto'!$D$13),"Moderado",IF(OR(K25='Tabla Impacto'!$C$14,K25='Tabla Impacto'!$D$14),"Mayor",IF(OR(K25='Tabla Impacto'!$C$15,K25='Tabla Impacto'!$D$15),"Catastrófico","")))))</f>
        <v>Leve</v>
      </c>
      <c r="M25" s="196">
        <f>IF(L25="","",IF(L25="Leve",0.2,IF(L25="Menor",0.4,IF(L25="Moderado",0.6,IF(L25="Mayor",0.8,IF(L25="Catastrófico",1,))))))</f>
        <v>0.2</v>
      </c>
      <c r="N25" s="197"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Bajo</v>
      </c>
      <c r="O25" s="6">
        <v>1</v>
      </c>
      <c r="P25" s="244" t="s">
        <v>331</v>
      </c>
      <c r="Q25" s="210" t="str">
        <f t="shared" ref="Q25:Q29" si="0">IF(OR(R25="Preventivo",R25="Detectivo"),"Probabilidad",IF(R25="Correctivo","Impacto",""))</f>
        <v>Probabilidad</v>
      </c>
      <c r="R25" s="211" t="s">
        <v>164</v>
      </c>
      <c r="S25" s="211" t="s">
        <v>172</v>
      </c>
      <c r="T25" s="212" t="str">
        <f>IF(AND(R25="Preventivo",S25="Automático"),"50%",IF(AND(R25="Preventivo",S25="Manual"),"40%",IF(AND(R25="Detectivo",S25="Automático"),"40%",IF(AND(R25="Detectivo",S25="Manual"),"30%",IF(AND(R25="Correctivo",S25="Automático"),"35%",IF(AND(R25="Correctivo",S25="Manual"),"25%",""))))))</f>
        <v>40%</v>
      </c>
      <c r="U25" s="211" t="s">
        <v>178</v>
      </c>
      <c r="V25" s="211" t="s">
        <v>180</v>
      </c>
      <c r="W25" s="211" t="s">
        <v>184</v>
      </c>
      <c r="X25" s="187">
        <f>IFERROR(IF(Q25="Probabilidad",(I25-(+I25*T25)),IF(Q25="Impacto",I25,"")),"")</f>
        <v>0.24</v>
      </c>
      <c r="Y25" s="213" t="str">
        <f>IFERROR(IF(X25="","",IF(X25&lt;=0.2,"Muy Baja",IF(X25&lt;=0.4,"Baja",IF(X25&lt;=0.6,"Media",IF(X25&lt;=0.8,"Alta","Muy Alta"))))),"")</f>
        <v>Baja</v>
      </c>
      <c r="Z25" s="193">
        <f>+X25</f>
        <v>0.24</v>
      </c>
      <c r="AA25" s="213" t="str">
        <f>IFERROR(IF(AB25="","",IF(AB25&lt;=0.2,"Leve",IF(AB25&lt;=0.4,"Menor",IF(AB25&lt;=0.6,"Moderado",IF(AB25&lt;=0.8,"Mayor","Catastrófico"))))),"")</f>
        <v>Leve</v>
      </c>
      <c r="AB25" s="193">
        <f>IFERROR(IF(Q25="Impacto",(M25-(+M25*T25)),IF(Q25="Probabilidad",M25,"")),"")</f>
        <v>0.2</v>
      </c>
      <c r="AC25" s="214"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Bajo</v>
      </c>
      <c r="AD25" s="194" t="s">
        <v>189</v>
      </c>
      <c r="AE25" s="215"/>
      <c r="AF25" s="216"/>
      <c r="AG25" s="217"/>
      <c r="AH25" s="217"/>
      <c r="AI25" s="215"/>
      <c r="AJ25" s="21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142.5" customHeight="1" x14ac:dyDescent="0.3">
      <c r="A26" s="321">
        <v>2</v>
      </c>
      <c r="B26" s="291" t="s">
        <v>192</v>
      </c>
      <c r="C26" s="219" t="s">
        <v>314</v>
      </c>
      <c r="D26" s="341" t="s">
        <v>316</v>
      </c>
      <c r="E26" s="343" t="s">
        <v>317</v>
      </c>
      <c r="F26" s="291" t="s">
        <v>232</v>
      </c>
      <c r="G26" s="305">
        <v>2000</v>
      </c>
      <c r="H26" s="300" t="str">
        <f>IF(G26&lt;=0,"",IF(G26&lt;=2,"Muy Baja",IF(G26&lt;=24,"Baja",IF(G26&lt;=500,"Media",IF(G26&lt;=5000,"Alta","Muy Alta")))))</f>
        <v>Alta</v>
      </c>
      <c r="I26" s="298">
        <f>IF(H26="","",IF(H26="Muy Baja",0.2,IF(H26="Baja",0.4,IF(H26="Media",0.6,IF(H26="Alta",0.8,IF(H26="Muy Alta",1,))))))</f>
        <v>0.8</v>
      </c>
      <c r="J26" s="307" t="s">
        <v>143</v>
      </c>
      <c r="K26" s="298" t="str">
        <f>IF(NOT(ISERROR(MATCH(J26,'Tabla Impacto'!$B$221:$B$223,0))),'Tabla Impacto'!$F$228&amp;"Por favor no seleccionar los criterios de impacto(Afectación Económica o presupuestal y Pérdida Reputacional)",J26)</f>
        <v xml:space="preserve">     El riesgo afecta la imagen de alguna área de la organización</v>
      </c>
      <c r="L26" s="300" t="str">
        <f>IF(OR(K26='Tabla Impacto'!$C$11,K26='Tabla Impacto'!$D$11),"Leve",IF(OR(K26='Tabla Impacto'!$C$12,K26='Tabla Impacto'!$D$12),"Menor",IF(OR(K26='Tabla Impacto'!$C$13,K26='Tabla Impacto'!$D$13),"Moderado",IF(OR(K26='Tabla Impacto'!$C$14,K26='Tabla Impacto'!$D$14),"Mayor",IF(OR(K26='Tabla Impacto'!$C$15,K26='Tabla Impacto'!$D$15),"Catastrófico","")))))</f>
        <v>Leve</v>
      </c>
      <c r="M26" s="298">
        <f>IF(L26="","",IF(L26="Leve",0.2,IF(L26="Menor",0.4,IF(L26="Moderado",0.6,IF(L26="Mayor",0.8,IF(L26="Catastrófico",1,))))))</f>
        <v>0.2</v>
      </c>
      <c r="N26" s="302"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6">
        <v>1</v>
      </c>
      <c r="P26" s="209" t="s">
        <v>318</v>
      </c>
      <c r="Q26" s="210" t="str">
        <f t="shared" si="0"/>
        <v>Probabilidad</v>
      </c>
      <c r="R26" s="211" t="s">
        <v>164</v>
      </c>
      <c r="S26" s="211" t="s">
        <v>172</v>
      </c>
      <c r="T26" s="212" t="str">
        <f>IF(AND(R26="Preventivo",S26="Automático"),"50%",IF(AND(R26="Preventivo",S26="Manual"),"40%",IF(AND(R26="Detectivo",S26="Automático"),"40%",IF(AND(R26="Detectivo",S26="Manual"),"30%",IF(AND(R26="Correctivo",S26="Automático"),"35%",IF(AND(R26="Correctivo",S26="Manual"),"25%",""))))))</f>
        <v>40%</v>
      </c>
      <c r="U26" s="211" t="s">
        <v>175</v>
      </c>
      <c r="V26" s="211" t="s">
        <v>180</v>
      </c>
      <c r="W26" s="211" t="s">
        <v>184</v>
      </c>
      <c r="X26" s="187">
        <f>IFERROR(IF(Q26="Probabilidad",(I26-(+I26*T26)),IF(Q26="Impacto",I26,"")),"")</f>
        <v>0.48</v>
      </c>
      <c r="Y26" s="213" t="str">
        <f>IFERROR(IF(X26="","",IF(X26&lt;=0.2,"Muy Baja",IF(X26&lt;=0.4,"Baja",IF(X26&lt;=0.6,"Media",IF(X26&lt;=0.8,"Alta","Muy Alta"))))),"")</f>
        <v>Media</v>
      </c>
      <c r="Z26" s="193">
        <f>+X26</f>
        <v>0.48</v>
      </c>
      <c r="AA26" s="213" t="str">
        <f>IFERROR(IF(AB26="","",IF(AB26&lt;=0.2,"Leve",IF(AB26&lt;=0.4,"Menor",IF(AB26&lt;=0.6,"Moderado",IF(AB26&lt;=0.8,"Mayor","Catastrófico"))))),"")</f>
        <v>Leve</v>
      </c>
      <c r="AB26" s="193">
        <f>IFERROR(IF(Q26="Impacto",(M26-(+M26*T26)),IF(Q26="Probabilidad",M26,"")),"")</f>
        <v>0.2</v>
      </c>
      <c r="AC26" s="214"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Moderado</v>
      </c>
      <c r="AD26" s="339" t="s">
        <v>189</v>
      </c>
      <c r="AE26" s="291"/>
      <c r="AF26" s="291"/>
      <c r="AG26" s="291"/>
      <c r="AH26" s="291"/>
      <c r="AI26" s="291"/>
      <c r="AJ26" s="291"/>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96.75" customHeight="1" x14ac:dyDescent="0.3">
      <c r="A27" s="322"/>
      <c r="B27" s="304"/>
      <c r="C27" s="219" t="s">
        <v>315</v>
      </c>
      <c r="D27" s="342"/>
      <c r="E27" s="344"/>
      <c r="F27" s="304"/>
      <c r="G27" s="306"/>
      <c r="H27" s="301"/>
      <c r="I27" s="299"/>
      <c r="J27" s="308"/>
      <c r="K27" s="299">
        <f>IF(NOT(ISERROR(MATCH(J27,_xlfn.ANCHORARRAY(#REF!),0))),#REF!&amp;"Por favor no seleccionar los criterios de impacto",J27)</f>
        <v>0</v>
      </c>
      <c r="L27" s="301"/>
      <c r="M27" s="299"/>
      <c r="N27" s="303"/>
      <c r="O27" s="6">
        <v>2</v>
      </c>
      <c r="P27" s="209" t="s">
        <v>319</v>
      </c>
      <c r="Q27" s="210" t="str">
        <f t="shared" si="0"/>
        <v>Probabilidad</v>
      </c>
      <c r="R27" s="211" t="s">
        <v>164</v>
      </c>
      <c r="S27" s="211" t="s">
        <v>172</v>
      </c>
      <c r="T27" s="212" t="str">
        <f t="shared" ref="T27" si="1">IF(AND(R27="Preventivo",S27="Automático"),"50%",IF(AND(R27="Preventivo",S27="Manual"),"40%",IF(AND(R27="Detectivo",S27="Automático"),"40%",IF(AND(R27="Detectivo",S27="Manual"),"30%",IF(AND(R27="Correctivo",S27="Automático"),"35%",IF(AND(R27="Correctivo",S27="Manual"),"25%",""))))))</f>
        <v>40%</v>
      </c>
      <c r="U27" s="211" t="s">
        <v>175</v>
      </c>
      <c r="V27" s="211" t="s">
        <v>180</v>
      </c>
      <c r="W27" s="211" t="s">
        <v>184</v>
      </c>
      <c r="X27" s="187">
        <f>IFERROR(IF(AND(Q26="Probabilidad",Q27="Probabilidad"),(Z26-(+Z26*T27)),IF(Q27="Probabilidad",(I26-(+I26*T27)),IF(Q27="Impacto",Z26,""))),"")</f>
        <v>0.28799999999999998</v>
      </c>
      <c r="Y27" s="213" t="str">
        <f t="shared" ref="Y27:Y41" si="2">IFERROR(IF(X27="","",IF(X27&lt;=0.2,"Muy Baja",IF(X27&lt;=0.4,"Baja",IF(X27&lt;=0.6,"Media",IF(X27&lt;=0.8,"Alta","Muy Alta"))))),"")</f>
        <v>Baja</v>
      </c>
      <c r="Z27" s="193">
        <f t="shared" ref="Z27" si="3">+X27</f>
        <v>0.28799999999999998</v>
      </c>
      <c r="AA27" s="213" t="str">
        <f t="shared" ref="AA27:AA41" si="4">IFERROR(IF(AB27="","",IF(AB27&lt;=0.2,"Leve",IF(AB27&lt;=0.4,"Menor",IF(AB27&lt;=0.6,"Moderado",IF(AB27&lt;=0.8,"Mayor","Catastrófico"))))),"")</f>
        <v>Leve</v>
      </c>
      <c r="AB27" s="193">
        <f>IFERROR(IF(AND(Q26="Impacto",Q27="Impacto"),(AB26-(+AB26*T27)),IF(Q27="Impacto",(M26-(+M26*T27)),IF(Q27="Probabilidad",AB26,""))),"")</f>
        <v>0.2</v>
      </c>
      <c r="AC27" s="214" t="str">
        <f t="shared" ref="AC27" si="5">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Bajo</v>
      </c>
      <c r="AD27" s="340"/>
      <c r="AE27" s="292"/>
      <c r="AF27" s="292"/>
      <c r="AG27" s="292"/>
      <c r="AH27" s="292"/>
      <c r="AI27" s="292"/>
      <c r="AJ27" s="292"/>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18.5" customHeight="1" x14ac:dyDescent="0.3">
      <c r="A28" s="195">
        <v>3</v>
      </c>
      <c r="B28" s="198" t="s">
        <v>192</v>
      </c>
      <c r="C28" s="201" t="s">
        <v>320</v>
      </c>
      <c r="D28" s="201" t="s">
        <v>321</v>
      </c>
      <c r="E28" s="202" t="s">
        <v>322</v>
      </c>
      <c r="F28" s="198" t="s">
        <v>232</v>
      </c>
      <c r="G28" s="199">
        <v>21</v>
      </c>
      <c r="H28" s="200" t="str">
        <f>IF(G28&lt;=0,"",IF(G28&lt;=2,"Muy Baja",IF(G28&lt;=24,"Baja",IF(G28&lt;=500,"Media",IF(G28&lt;=5000,"Alta","Muy Alta")))))</f>
        <v>Baja</v>
      </c>
      <c r="I28" s="196">
        <f>IF(H28="","",IF(H28="Muy Baja",0.2,IF(H28="Baja",0.4,IF(H28="Media",0.6,IF(H28="Alta",0.8,IF(H28="Muy Alta",1,))))))</f>
        <v>0.4</v>
      </c>
      <c r="J28" s="203" t="s">
        <v>143</v>
      </c>
      <c r="K28" s="196" t="str">
        <f>IF(NOT(ISERROR(MATCH(J28,'Tabla Impacto'!$B$221:$B$223,0))),'Tabla Impacto'!$F$228&amp;"Por favor no seleccionar los criterios de impacto(Afectación Económica o presupuestal y Pérdida Reputacional)",J28)</f>
        <v xml:space="preserve">     El riesgo afecta la imagen de alguna área de la organización</v>
      </c>
      <c r="L28" s="200" t="str">
        <f>IF(OR(K28='Tabla Impacto'!$C$11,K28='Tabla Impacto'!$D$11),"Leve",IF(OR(K28='Tabla Impacto'!$C$12,K28='Tabla Impacto'!$D$12),"Menor",IF(OR(K28='Tabla Impacto'!$C$13,K28='Tabla Impacto'!$D$13),"Moderado",IF(OR(K28='Tabla Impacto'!$C$14,K28='Tabla Impacto'!$D$14),"Mayor",IF(OR(K28='Tabla Impacto'!$C$15,K28='Tabla Impacto'!$D$15),"Catastrófico","")))))</f>
        <v>Leve</v>
      </c>
      <c r="M28" s="196">
        <f>IF(L28="","",IF(L28="Leve",0.2,IF(L28="Menor",0.4,IF(L28="Moderado",0.6,IF(L28="Mayor",0.8,IF(L28="Catastrófico",1,))))))</f>
        <v>0.2</v>
      </c>
      <c r="N28" s="197"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Bajo</v>
      </c>
      <c r="O28" s="6">
        <v>1</v>
      </c>
      <c r="P28" s="209" t="s">
        <v>323</v>
      </c>
      <c r="Q28" s="210" t="str">
        <f t="shared" si="0"/>
        <v>Probabilidad</v>
      </c>
      <c r="R28" s="211" t="s">
        <v>164</v>
      </c>
      <c r="S28" s="211" t="s">
        <v>172</v>
      </c>
      <c r="T28" s="212" t="str">
        <f>IF(AND(R28="Preventivo",S28="Automático"),"50%",IF(AND(R28="Preventivo",S28="Manual"),"40%",IF(AND(R28="Detectivo",S28="Automático"),"40%",IF(AND(R28="Detectivo",S28="Manual"),"30%",IF(AND(R28="Correctivo",S28="Automático"),"35%",IF(AND(R28="Correctivo",S28="Manual"),"25%",""))))))</f>
        <v>40%</v>
      </c>
      <c r="U28" s="211" t="s">
        <v>175</v>
      </c>
      <c r="V28" s="211" t="s">
        <v>180</v>
      </c>
      <c r="W28" s="211" t="s">
        <v>184</v>
      </c>
      <c r="X28" s="187">
        <f>IFERROR(IF(Q28="Probabilidad",(I28-(+I28*T28)),IF(Q28="Impacto",I28,"")),"")</f>
        <v>0.24</v>
      </c>
      <c r="Y28" s="213" t="str">
        <f>IFERROR(IF(X28="","",IF(X28&lt;=0.2,"Muy Baja",IF(X28&lt;=0.4,"Baja",IF(X28&lt;=0.6,"Media",IF(X28&lt;=0.8,"Alta","Muy Alta"))))),"")</f>
        <v>Baja</v>
      </c>
      <c r="Z28" s="193">
        <f>+X28</f>
        <v>0.24</v>
      </c>
      <c r="AA28" s="213" t="str">
        <f>IFERROR(IF(AB28="","",IF(AB28&lt;=0.2,"Leve",IF(AB28&lt;=0.4,"Menor",IF(AB28&lt;=0.6,"Moderado",IF(AB28&lt;=0.8,"Mayor","Catastrófico"))))),"")</f>
        <v>Leve</v>
      </c>
      <c r="AB28" s="193">
        <f>IFERROR(IF(Q28="Impacto",(M28-(+M28*T28)),IF(Q28="Probabilidad",M28,"")),"")</f>
        <v>0.2</v>
      </c>
      <c r="AC28" s="214"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Bajo</v>
      </c>
      <c r="AD28" s="194" t="s">
        <v>189</v>
      </c>
      <c r="AE28" s="215"/>
      <c r="AF28" s="216"/>
      <c r="AG28" s="217"/>
      <c r="AH28" s="217"/>
      <c r="AI28" s="215"/>
      <c r="AJ28" s="21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s="243" customFormat="1" ht="100.9" customHeight="1" x14ac:dyDescent="0.3">
      <c r="A29" s="221">
        <v>4</v>
      </c>
      <c r="B29" s="222" t="s">
        <v>192</v>
      </c>
      <c r="C29" s="202" t="s">
        <v>326</v>
      </c>
      <c r="D29" s="202" t="s">
        <v>325</v>
      </c>
      <c r="E29" s="202" t="s">
        <v>330</v>
      </c>
      <c r="F29" s="222" t="s">
        <v>232</v>
      </c>
      <c r="G29" s="223">
        <v>60</v>
      </c>
      <c r="H29" s="224" t="str">
        <f>IF(G29&lt;=0,"",IF(G29&lt;=2,"Muy Baja",IF(G29&lt;=24,"Baja",IF(G29&lt;=500,"Media",IF(G29&lt;=5000,"Alta","Muy Alta")))))</f>
        <v>Media</v>
      </c>
      <c r="I29" s="225">
        <f>IF(H29="","",IF(H29="Muy Baja",0.2,IF(H29="Baja",0.4,IF(H29="Media",0.6,IF(H29="Alta",0.8,IF(H29="Muy Alta",1,))))))</f>
        <v>0.6</v>
      </c>
      <c r="J29" s="226" t="s">
        <v>148</v>
      </c>
      <c r="K29" s="227" t="str">
        <f>IF(NOT(ISERROR(MATCH(J29,'Tabla Impacto'!$B$221:$B$223,0))),'Tabla Impacto'!$F$228&amp;"Por favor no seleccionar los criterios de impacto(Afectación Económica o presupuestal y Pérdida Reputacional)",J29)</f>
        <v xml:space="preserve">     El riesgo afecta la imagen de la entidad con algunos usuarios de relevancia frente al logro de los objetivos</v>
      </c>
      <c r="L29" s="224" t="str">
        <f>IF(OR(K29='Tabla Impacto'!$C$11,K29='Tabla Impacto'!$D$11),"Leve",IF(OR(K29='Tabla Impacto'!$C$12,K29='Tabla Impacto'!$D$12),"Menor",IF(OR(K29='Tabla Impacto'!$C$13,K29='Tabla Impacto'!$D$13),"Moderado",IF(OR(K29='Tabla Impacto'!$C$14,K29='Tabla Impacto'!$D$14),"Mayor",IF(OR(K29='Tabla Impacto'!$C$15,K29='Tabla Impacto'!$D$15),"Catastrófico","")))))</f>
        <v>Moderado</v>
      </c>
      <c r="M29" s="225">
        <f>IF(L29="","",IF(L29="Leve",0.2,IF(L29="Menor",0.4,IF(L29="Moderado",0.6,IF(L29="Mayor",0.8,IF(L29="Catastrófico",1,))))))</f>
        <v>0.6</v>
      </c>
      <c r="N29" s="228" t="str">
        <f>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Moderado</v>
      </c>
      <c r="O29" s="229">
        <v>1</v>
      </c>
      <c r="P29" s="230" t="s">
        <v>327</v>
      </c>
      <c r="Q29" s="231" t="str">
        <f t="shared" si="0"/>
        <v>Probabilidad</v>
      </c>
      <c r="R29" s="232" t="s">
        <v>166</v>
      </c>
      <c r="S29" s="232" t="s">
        <v>172</v>
      </c>
      <c r="T29" s="233" t="str">
        <f>IF(AND(R29="Preventivo",S29="Automático"),"50%",IF(AND(R29="Preventivo",S29="Manual"),"40%",IF(AND(R29="Detectivo",S29="Automático"),"40%",IF(AND(R29="Detectivo",S29="Manual"),"30%",IF(AND(R29="Correctivo",S29="Automático"),"35%",IF(AND(R29="Correctivo",S29="Manual"),"25%",""))))))</f>
        <v>30%</v>
      </c>
      <c r="U29" s="232" t="s">
        <v>175</v>
      </c>
      <c r="V29" s="232" t="s">
        <v>180</v>
      </c>
      <c r="W29" s="232" t="s">
        <v>184</v>
      </c>
      <c r="X29" s="234">
        <f>IFERROR(IF(Q29="Probabilidad",(I29-(+I29*T29)),IF(Q29="Impacto",I29,"")),"")</f>
        <v>0.42</v>
      </c>
      <c r="Y29" s="235" t="str">
        <f>IFERROR(IF(X29="","",IF(X29&lt;=0.2,"Muy Baja",IF(X29&lt;=0.4,"Baja",IF(X29&lt;=0.6,"Media",IF(X29&lt;=0.8,"Alta","Muy Alta"))))),"")</f>
        <v>Media</v>
      </c>
      <c r="Z29" s="236">
        <f>+X29</f>
        <v>0.42</v>
      </c>
      <c r="AA29" s="235" t="str">
        <f>IFERROR(IF(AB29="","",IF(AB29&lt;=0.2,"Leve",IF(AB29&lt;=0.4,"Menor",IF(AB29&lt;=0.6,"Moderado",IF(AB29&lt;=0.8,"Mayor","Catastrófico"))))),"")</f>
        <v>Moderado</v>
      </c>
      <c r="AB29" s="236">
        <f>IFERROR(IF(Q29="Impacto",(M29-(+M29*T29)),IF(Q29="Probabilidad",M29,"")),"")</f>
        <v>0.6</v>
      </c>
      <c r="AC29" s="237"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Moderado</v>
      </c>
      <c r="AD29" s="238" t="s">
        <v>189</v>
      </c>
      <c r="AE29" s="239"/>
      <c r="AF29" s="240"/>
      <c r="AG29" s="241"/>
      <c r="AH29" s="241"/>
      <c r="AI29" s="239"/>
      <c r="AJ29" s="240"/>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row>
    <row r="30" spans="1:68" ht="18" hidden="1" customHeight="1" x14ac:dyDescent="0.3">
      <c r="A30" s="321">
        <v>9</v>
      </c>
      <c r="B30" s="324"/>
      <c r="C30" s="324"/>
      <c r="D30" s="324"/>
      <c r="E30" s="327"/>
      <c r="F30" s="324"/>
      <c r="G30" s="330"/>
      <c r="H30" s="333" t="str">
        <f>IF(G30&lt;=0,"",IF(G30&lt;=2,"Muy Baja",IF(G30&lt;=24,"Baja",IF(G30&lt;=500,"Media",IF(G30&lt;=5000,"Alta","Muy Alta")))))</f>
        <v/>
      </c>
      <c r="I30" s="315" t="str">
        <f>IF(H30="","",IF(H30="Muy Baja",0.2,IF(H30="Baja",0.4,IF(H30="Media",0.6,IF(H30="Alta",0.8,IF(H30="Muy Alta",1,))))))</f>
        <v/>
      </c>
      <c r="J30" s="336"/>
      <c r="K30" s="315">
        <f>IF(NOT(ISERROR(MATCH(J30,'Tabla Impacto'!$B$221:$B$223,0))),'Tabla Impacto'!$F$228&amp;"Por favor no seleccionar los criterios de impacto(Afectación Económica o presupuestal y Pérdida Reputacional)",J30)</f>
        <v>0</v>
      </c>
      <c r="L30" s="333" t="str">
        <f>IF(OR(K30='Tabla Impacto'!$C$11,K30='Tabla Impacto'!$D$11),"Leve",IF(OR(K30='Tabla Impacto'!$C$12,K30='Tabla Impacto'!$D$12),"Menor",IF(OR(K30='Tabla Impacto'!$C$13,K30='Tabla Impacto'!$D$13),"Moderado",IF(OR(K30='Tabla Impacto'!$C$14,K30='Tabla Impacto'!$D$14),"Mayor",IF(OR(K30='Tabla Impacto'!$C$15,K30='Tabla Impacto'!$D$15),"Catastrófico","")))))</f>
        <v/>
      </c>
      <c r="M30" s="315" t="str">
        <f>IF(L30="","",IF(L30="Leve",0.2,IF(L30="Menor",0.4,IF(L30="Moderado",0.6,IF(L30="Mayor",0.8,IF(L30="Catastrófico",1,))))))</f>
        <v/>
      </c>
      <c r="N30" s="318"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23">
        <v>1</v>
      </c>
      <c r="P30" s="124"/>
      <c r="Q30" s="125" t="str">
        <f>IF(OR(R30="Preventivo",R30="Detectivo"),"Probabilidad",IF(R30="Correctivo","Impacto",""))</f>
        <v/>
      </c>
      <c r="R30" s="126"/>
      <c r="S30" s="126"/>
      <c r="T30" s="127" t="str">
        <f>IF(AND(R30="Preventivo",S30="Automático"),"50%",IF(AND(R30="Preventivo",S30="Manual"),"40%",IF(AND(R30="Detectivo",S30="Automático"),"40%",IF(AND(R30="Detectivo",S30="Manual"),"30%",IF(AND(R30="Correctivo",S30="Automático"),"35%",IF(AND(R30="Correctivo",S30="Manual"),"25%",""))))))</f>
        <v/>
      </c>
      <c r="U30" s="126"/>
      <c r="V30" s="126"/>
      <c r="W30" s="126"/>
      <c r="X30" s="128" t="str">
        <f>IFERROR(IF(Q30="Probabilidad",(I30-(+I30*T30)),IF(Q30="Impacto",I30,"")),"")</f>
        <v/>
      </c>
      <c r="Y30" s="129" t="str">
        <f>IFERROR(IF(X30="","",IF(X30&lt;=0.2,"Muy Baja",IF(X30&lt;=0.4,"Baja",IF(X30&lt;=0.6,"Media",IF(X30&lt;=0.8,"Alta","Muy Alta"))))),"")</f>
        <v/>
      </c>
      <c r="Z30" s="130" t="str">
        <f>+X30</f>
        <v/>
      </c>
      <c r="AA30" s="129" t="str">
        <f>IFERROR(IF(AB30="","",IF(AB30&lt;=0.2,"Leve",IF(AB30&lt;=0.4,"Menor",IF(AB30&lt;=0.6,"Moderado",IF(AB30&lt;=0.8,"Mayor","Catastrófico"))))),"")</f>
        <v/>
      </c>
      <c r="AB30" s="130" t="str">
        <f>IFERROR(IF(Q30="Impacto",(M30-(+M30*T30)),IF(Q30="Probabilidad",M30,"")),"")</f>
        <v/>
      </c>
      <c r="AC30" s="13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32"/>
      <c r="AE30" s="133"/>
      <c r="AF30" s="134"/>
      <c r="AG30" s="135"/>
      <c r="AH30" s="135"/>
      <c r="AI30" s="133"/>
      <c r="AJ30" s="134"/>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8" hidden="1" customHeight="1" x14ac:dyDescent="0.3">
      <c r="A31" s="322"/>
      <c r="B31" s="325"/>
      <c r="C31" s="325"/>
      <c r="D31" s="325"/>
      <c r="E31" s="328"/>
      <c r="F31" s="325"/>
      <c r="G31" s="331"/>
      <c r="H31" s="334"/>
      <c r="I31" s="316"/>
      <c r="J31" s="337"/>
      <c r="K31" s="316">
        <f>IF(NOT(ISERROR(MATCH(J31,_xlfn.ANCHORARRAY(E42),0))),I44&amp;"Por favor no seleccionar los criterios de impacto",J31)</f>
        <v>0</v>
      </c>
      <c r="L31" s="334"/>
      <c r="M31" s="316"/>
      <c r="N31" s="319"/>
      <c r="O31" s="123">
        <v>2</v>
      </c>
      <c r="P31" s="124"/>
      <c r="Q31" s="125" t="str">
        <f>IF(OR(R31="Preventivo",R31="Detectivo"),"Probabilidad",IF(R31="Correctivo","Impacto",""))</f>
        <v/>
      </c>
      <c r="R31" s="126"/>
      <c r="S31" s="126"/>
      <c r="T31" s="127" t="str">
        <f t="shared" ref="T31:T35" si="6">IF(AND(R31="Preventivo",S31="Automático"),"50%",IF(AND(R31="Preventivo",S31="Manual"),"40%",IF(AND(R31="Detectivo",S31="Automático"),"40%",IF(AND(R31="Detectivo",S31="Manual"),"30%",IF(AND(R31="Correctivo",S31="Automático"),"35%",IF(AND(R31="Correctivo",S31="Manual"),"25%",""))))))</f>
        <v/>
      </c>
      <c r="U31" s="126"/>
      <c r="V31" s="126"/>
      <c r="W31" s="126"/>
      <c r="X31" s="128" t="str">
        <f>IFERROR(IF(AND(Q30="Probabilidad",Q31="Probabilidad"),(Z30-(+Z30*T31)),IF(Q31="Probabilidad",(I30-(+I30*T31)),IF(Q31="Impacto",Z30,""))),"")</f>
        <v/>
      </c>
      <c r="Y31" s="129" t="str">
        <f t="shared" si="2"/>
        <v/>
      </c>
      <c r="Z31" s="130" t="str">
        <f t="shared" ref="Z31:Z35" si="7">+X31</f>
        <v/>
      </c>
      <c r="AA31" s="129" t="str">
        <f t="shared" si="4"/>
        <v/>
      </c>
      <c r="AB31" s="130" t="str">
        <f>IFERROR(IF(AND(Q30="Impacto",Q31="Impacto"),(AB30-(+AB30*T31)),IF(Q31="Impacto",(M30-(+M30*T31)),IF(Q31="Probabilidad",AB30,""))),"")</f>
        <v/>
      </c>
      <c r="AC31" s="131" t="str">
        <f t="shared" ref="AC31:AC32" si="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8" hidden="1" customHeight="1" x14ac:dyDescent="0.3">
      <c r="A32" s="322"/>
      <c r="B32" s="325"/>
      <c r="C32" s="325"/>
      <c r="D32" s="325"/>
      <c r="E32" s="328"/>
      <c r="F32" s="325"/>
      <c r="G32" s="331"/>
      <c r="H32" s="334"/>
      <c r="I32" s="316"/>
      <c r="J32" s="337"/>
      <c r="K32" s="316">
        <f>IF(NOT(ISERROR(MATCH(J32,_xlfn.ANCHORARRAY(E43),0))),I45&amp;"Por favor no seleccionar los criterios de impacto",J32)</f>
        <v>0</v>
      </c>
      <c r="L32" s="334"/>
      <c r="M32" s="316"/>
      <c r="N32" s="319"/>
      <c r="O32" s="123">
        <v>3</v>
      </c>
      <c r="P32" s="136"/>
      <c r="Q32" s="125" t="str">
        <f>IF(OR(R32="Preventivo",R32="Detectivo"),"Probabilidad",IF(R32="Correctivo","Impacto",""))</f>
        <v/>
      </c>
      <c r="R32" s="126"/>
      <c r="S32" s="126"/>
      <c r="T32" s="127" t="str">
        <f t="shared" si="6"/>
        <v/>
      </c>
      <c r="U32" s="126"/>
      <c r="V32" s="126"/>
      <c r="W32" s="126"/>
      <c r="X32" s="128" t="str">
        <f>IFERROR(IF(AND(Q31="Probabilidad",Q32="Probabilidad"),(Z31-(+Z31*T32)),IF(AND(Q31="Impacto",Q32="Probabilidad"),(Z30-(+Z30*T32)),IF(Q32="Impacto",Z31,""))),"")</f>
        <v/>
      </c>
      <c r="Y32" s="129" t="str">
        <f t="shared" si="2"/>
        <v/>
      </c>
      <c r="Z32" s="130" t="str">
        <f t="shared" si="7"/>
        <v/>
      </c>
      <c r="AA32" s="129" t="str">
        <f t="shared" si="4"/>
        <v/>
      </c>
      <c r="AB32" s="130" t="str">
        <f>IFERROR(IF(AND(Q31="Impacto",Q32="Impacto"),(AB31-(+AB31*T32)),IF(AND(Q31="Probabilidad",Q32="Impacto"),(AB30-(+AB30*T32)),IF(Q32="Probabilidad",AB31,""))),"")</f>
        <v/>
      </c>
      <c r="AC32" s="131" t="str">
        <f t="shared" si="8"/>
        <v/>
      </c>
      <c r="AD32" s="132"/>
      <c r="AE32" s="133"/>
      <c r="AF32" s="134"/>
      <c r="AG32" s="135"/>
      <c r="AH32" s="135"/>
      <c r="AI32" s="133"/>
      <c r="AJ32" s="134"/>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8" hidden="1" customHeight="1" x14ac:dyDescent="0.3">
      <c r="A33" s="322"/>
      <c r="B33" s="325"/>
      <c r="C33" s="325"/>
      <c r="D33" s="325"/>
      <c r="E33" s="328"/>
      <c r="F33" s="325"/>
      <c r="G33" s="331"/>
      <c r="H33" s="334"/>
      <c r="I33" s="316"/>
      <c r="J33" s="337"/>
      <c r="K33" s="316">
        <f>IF(NOT(ISERROR(MATCH(J33,_xlfn.ANCHORARRAY(E44),0))),I46&amp;"Por favor no seleccionar los criterios de impacto",J33)</f>
        <v>0</v>
      </c>
      <c r="L33" s="334"/>
      <c r="M33" s="316"/>
      <c r="N33" s="319"/>
      <c r="O33" s="123">
        <v>4</v>
      </c>
      <c r="P33" s="124"/>
      <c r="Q33" s="125" t="str">
        <f t="shared" ref="Q33:Q35" si="9">IF(OR(R33="Preventivo",R33="Detectivo"),"Probabilidad",IF(R33="Correctivo","Impacto",""))</f>
        <v/>
      </c>
      <c r="R33" s="126"/>
      <c r="S33" s="126"/>
      <c r="T33" s="127" t="str">
        <f t="shared" si="6"/>
        <v/>
      </c>
      <c r="U33" s="126"/>
      <c r="V33" s="126"/>
      <c r="W33" s="126"/>
      <c r="X33" s="128" t="str">
        <f t="shared" ref="X33:X35" si="10">IFERROR(IF(AND(Q32="Probabilidad",Q33="Probabilidad"),(Z32-(+Z32*T33)),IF(AND(Q32="Impacto",Q33="Probabilidad"),(Z31-(+Z31*T33)),IF(Q33="Impacto",Z32,""))),"")</f>
        <v/>
      </c>
      <c r="Y33" s="129" t="str">
        <f t="shared" si="2"/>
        <v/>
      </c>
      <c r="Z33" s="130" t="str">
        <f t="shared" si="7"/>
        <v/>
      </c>
      <c r="AA33" s="129" t="str">
        <f t="shared" si="4"/>
        <v/>
      </c>
      <c r="AB33" s="130" t="str">
        <f t="shared" ref="AB33:AB35" si="11">IFERROR(IF(AND(Q32="Impacto",Q33="Impacto"),(AB32-(+AB32*T33)),IF(AND(Q32="Probabilidad",Q33="Impacto"),(AB31-(+AB31*T33)),IF(Q33="Probabilidad",AB32,""))),"")</f>
        <v/>
      </c>
      <c r="AC33" s="13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2"/>
      <c r="AE33" s="133"/>
      <c r="AF33" s="134"/>
      <c r="AG33" s="135"/>
      <c r="AH33" s="135"/>
      <c r="AI33" s="133"/>
      <c r="AJ33" s="134"/>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8" hidden="1" customHeight="1" x14ac:dyDescent="0.3">
      <c r="A34" s="322"/>
      <c r="B34" s="325"/>
      <c r="C34" s="325"/>
      <c r="D34" s="325"/>
      <c r="E34" s="328"/>
      <c r="F34" s="325"/>
      <c r="G34" s="331"/>
      <c r="H34" s="334"/>
      <c r="I34" s="316"/>
      <c r="J34" s="337"/>
      <c r="K34" s="316">
        <f>IF(NOT(ISERROR(MATCH(J34,_xlfn.ANCHORARRAY(E45),0))),I47&amp;"Por favor no seleccionar los criterios de impacto",J34)</f>
        <v>0</v>
      </c>
      <c r="L34" s="334"/>
      <c r="M34" s="316"/>
      <c r="N34" s="319"/>
      <c r="O34" s="123">
        <v>5</v>
      </c>
      <c r="P34" s="124"/>
      <c r="Q34" s="125" t="str">
        <f t="shared" si="9"/>
        <v/>
      </c>
      <c r="R34" s="126"/>
      <c r="S34" s="126"/>
      <c r="T34" s="127" t="str">
        <f t="shared" si="6"/>
        <v/>
      </c>
      <c r="U34" s="126"/>
      <c r="V34" s="126"/>
      <c r="W34" s="126"/>
      <c r="X34" s="128" t="str">
        <f t="shared" si="10"/>
        <v/>
      </c>
      <c r="Y34" s="129" t="str">
        <f t="shared" si="2"/>
        <v/>
      </c>
      <c r="Z34" s="130" t="str">
        <f t="shared" si="7"/>
        <v/>
      </c>
      <c r="AA34" s="129" t="str">
        <f t="shared" si="4"/>
        <v/>
      </c>
      <c r="AB34" s="130" t="str">
        <f t="shared" si="11"/>
        <v/>
      </c>
      <c r="AC34" s="131" t="str">
        <f t="shared" ref="AC34:AC35" si="1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2"/>
      <c r="AE34" s="133"/>
      <c r="AF34" s="134"/>
      <c r="AG34" s="135"/>
      <c r="AH34" s="135"/>
      <c r="AI34" s="133"/>
      <c r="AJ34" s="134"/>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8" hidden="1" customHeight="1" x14ac:dyDescent="0.3">
      <c r="A35" s="323"/>
      <c r="B35" s="326"/>
      <c r="C35" s="326"/>
      <c r="D35" s="326"/>
      <c r="E35" s="329"/>
      <c r="F35" s="326"/>
      <c r="G35" s="332"/>
      <c r="H35" s="335"/>
      <c r="I35" s="317"/>
      <c r="J35" s="338"/>
      <c r="K35" s="317">
        <f>IF(NOT(ISERROR(MATCH(J35,_xlfn.ANCHORARRAY(E46),0))),I48&amp;"Por favor no seleccionar los criterios de impacto",J35)</f>
        <v>0</v>
      </c>
      <c r="L35" s="335"/>
      <c r="M35" s="317"/>
      <c r="N35" s="320"/>
      <c r="O35" s="123">
        <v>6</v>
      </c>
      <c r="P35" s="124"/>
      <c r="Q35" s="125" t="str">
        <f t="shared" si="9"/>
        <v/>
      </c>
      <c r="R35" s="126"/>
      <c r="S35" s="126"/>
      <c r="T35" s="127" t="str">
        <f t="shared" si="6"/>
        <v/>
      </c>
      <c r="U35" s="126"/>
      <c r="V35" s="126"/>
      <c r="W35" s="126"/>
      <c r="X35" s="128" t="str">
        <f t="shared" si="10"/>
        <v/>
      </c>
      <c r="Y35" s="129" t="str">
        <f t="shared" si="2"/>
        <v/>
      </c>
      <c r="Z35" s="130" t="str">
        <f t="shared" si="7"/>
        <v/>
      </c>
      <c r="AA35" s="129" t="str">
        <f t="shared" si="4"/>
        <v/>
      </c>
      <c r="AB35" s="130" t="str">
        <f t="shared" si="11"/>
        <v/>
      </c>
      <c r="AC35" s="131" t="str">
        <f t="shared" si="12"/>
        <v/>
      </c>
      <c r="AD35" s="132"/>
      <c r="AE35" s="133"/>
      <c r="AF35" s="134"/>
      <c r="AG35" s="135"/>
      <c r="AH35" s="135"/>
      <c r="AI35" s="133"/>
      <c r="AJ35" s="134"/>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8" hidden="1" customHeight="1" x14ac:dyDescent="0.3">
      <c r="A36" s="321">
        <v>10</v>
      </c>
      <c r="B36" s="324"/>
      <c r="C36" s="324"/>
      <c r="D36" s="324"/>
      <c r="E36" s="327"/>
      <c r="F36" s="324"/>
      <c r="G36" s="330"/>
      <c r="H36" s="333" t="str">
        <f>IF(G36&lt;=0,"",IF(G36&lt;=2,"Muy Baja",IF(G36&lt;=24,"Baja",IF(G36&lt;=500,"Media",IF(G36&lt;=5000,"Alta","Muy Alta")))))</f>
        <v/>
      </c>
      <c r="I36" s="315" t="str">
        <f>IF(H36="","",IF(H36="Muy Baja",0.2,IF(H36="Baja",0.4,IF(H36="Media",0.6,IF(H36="Alta",0.8,IF(H36="Muy Alta",1,))))))</f>
        <v/>
      </c>
      <c r="J36" s="336"/>
      <c r="K36" s="315">
        <f>IF(NOT(ISERROR(MATCH(J36,'Tabla Impacto'!$B$221:$B$223,0))),'Tabla Impacto'!$F$228&amp;"Por favor no seleccionar los criterios de impacto(Afectación Económica o presupuestal y Pérdida Reputacional)",J36)</f>
        <v>0</v>
      </c>
      <c r="L36" s="333" t="str">
        <f>IF(OR(K36='Tabla Impacto'!$C$11,K36='Tabla Impacto'!$D$11),"Leve",IF(OR(K36='Tabla Impacto'!$C$12,K36='Tabla Impacto'!$D$12),"Menor",IF(OR(K36='Tabla Impacto'!$C$13,K36='Tabla Impacto'!$D$13),"Moderado",IF(OR(K36='Tabla Impacto'!$C$14,K36='Tabla Impacto'!$D$14),"Mayor",IF(OR(K36='Tabla Impacto'!$C$15,K36='Tabla Impacto'!$D$15),"Catastrófico","")))))</f>
        <v/>
      </c>
      <c r="M36" s="315" t="str">
        <f>IF(L36="","",IF(L36="Leve",0.2,IF(L36="Menor",0.4,IF(L36="Moderado",0.6,IF(L36="Mayor",0.8,IF(L36="Catastrófico",1,))))))</f>
        <v/>
      </c>
      <c r="N36" s="31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23">
        <v>1</v>
      </c>
      <c r="P36" s="124"/>
      <c r="Q36" s="125" t="str">
        <f>IF(OR(R36="Preventivo",R36="Detectivo"),"Probabilidad",IF(R36="Correctivo","Impacto",""))</f>
        <v/>
      </c>
      <c r="R36" s="126"/>
      <c r="S36" s="126"/>
      <c r="T36" s="127" t="str">
        <f>IF(AND(R36="Preventivo",S36="Automático"),"50%",IF(AND(R36="Preventivo",S36="Manual"),"40%",IF(AND(R36="Detectivo",S36="Automático"),"40%",IF(AND(R36="Detectivo",S36="Manual"),"30%",IF(AND(R36="Correctivo",S36="Automático"),"35%",IF(AND(R36="Correctivo",S36="Manual"),"25%",""))))))</f>
        <v/>
      </c>
      <c r="U36" s="126"/>
      <c r="V36" s="126"/>
      <c r="W36" s="126"/>
      <c r="X36" s="128" t="str">
        <f>IFERROR(IF(Q36="Probabilidad",(I36-(+I36*T36)),IF(Q36="Impacto",I36,"")),"")</f>
        <v/>
      </c>
      <c r="Y36" s="129" t="str">
        <f>IFERROR(IF(X36="","",IF(X36&lt;=0.2,"Muy Baja",IF(X36&lt;=0.4,"Baja",IF(X36&lt;=0.6,"Media",IF(X36&lt;=0.8,"Alta","Muy Alta"))))),"")</f>
        <v/>
      </c>
      <c r="Z36" s="130" t="str">
        <f>+X36</f>
        <v/>
      </c>
      <c r="AA36" s="129" t="str">
        <f>IFERROR(IF(AB36="","",IF(AB36&lt;=0.2,"Leve",IF(AB36&lt;=0.4,"Menor",IF(AB36&lt;=0.6,"Moderado",IF(AB36&lt;=0.8,"Mayor","Catastrófico"))))),"")</f>
        <v/>
      </c>
      <c r="AB36" s="130" t="str">
        <f>IFERROR(IF(Q36="Impacto",(M36-(+M36*T36)),IF(Q36="Probabilidad",M36,"")),"")</f>
        <v/>
      </c>
      <c r="AC36" s="131"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32"/>
      <c r="AE36" s="133"/>
      <c r="AF36" s="134"/>
      <c r="AG36" s="135"/>
      <c r="AH36" s="135"/>
      <c r="AI36" s="133"/>
      <c r="AJ36" s="134"/>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8" hidden="1" customHeight="1" x14ac:dyDescent="0.3">
      <c r="A37" s="322"/>
      <c r="B37" s="325"/>
      <c r="C37" s="325"/>
      <c r="D37" s="325"/>
      <c r="E37" s="328"/>
      <c r="F37" s="325"/>
      <c r="G37" s="331"/>
      <c r="H37" s="334"/>
      <c r="I37" s="316"/>
      <c r="J37" s="337"/>
      <c r="K37" s="316">
        <f>IF(NOT(ISERROR(MATCH(J37,_xlfn.ANCHORARRAY(E48),0))),I50&amp;"Por favor no seleccionar los criterios de impacto",J37)</f>
        <v>0</v>
      </c>
      <c r="L37" s="334"/>
      <c r="M37" s="316"/>
      <c r="N37" s="319"/>
      <c r="O37" s="123">
        <v>2</v>
      </c>
      <c r="P37" s="124"/>
      <c r="Q37" s="125" t="str">
        <f>IF(OR(R37="Preventivo",R37="Detectivo"),"Probabilidad",IF(R37="Correctivo","Impacto",""))</f>
        <v/>
      </c>
      <c r="R37" s="126"/>
      <c r="S37" s="126"/>
      <c r="T37" s="127" t="str">
        <f t="shared" ref="T37:T41" si="13">IF(AND(R37="Preventivo",S37="Automático"),"50%",IF(AND(R37="Preventivo",S37="Manual"),"40%",IF(AND(R37="Detectivo",S37="Automático"),"40%",IF(AND(R37="Detectivo",S37="Manual"),"30%",IF(AND(R37="Correctivo",S37="Automático"),"35%",IF(AND(R37="Correctivo",S37="Manual"),"25%",""))))))</f>
        <v/>
      </c>
      <c r="U37" s="126"/>
      <c r="V37" s="126"/>
      <c r="W37" s="126"/>
      <c r="X37" s="128" t="str">
        <f>IFERROR(IF(AND(Q36="Probabilidad",Q37="Probabilidad"),(Z36-(+Z36*T37)),IF(Q37="Probabilidad",(I36-(+I36*T37)),IF(Q37="Impacto",Z36,""))),"")</f>
        <v/>
      </c>
      <c r="Y37" s="129" t="str">
        <f t="shared" si="2"/>
        <v/>
      </c>
      <c r="Z37" s="130" t="str">
        <f t="shared" ref="Z37:Z41" si="14">+X37</f>
        <v/>
      </c>
      <c r="AA37" s="129" t="str">
        <f t="shared" si="4"/>
        <v/>
      </c>
      <c r="AB37" s="130" t="str">
        <f>IFERROR(IF(AND(Q36="Impacto",Q37="Impacto"),(AB36-(+AB36*T37)),IF(Q37="Impacto",(M36-(+M36*T37)),IF(Q37="Probabilidad",AB36,""))),"")</f>
        <v/>
      </c>
      <c r="AC37" s="131" t="str">
        <f t="shared" ref="AC37:AC38" si="15">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row>
    <row r="38" spans="1:68" ht="18" hidden="1" customHeight="1" x14ac:dyDescent="0.3">
      <c r="A38" s="322"/>
      <c r="B38" s="325"/>
      <c r="C38" s="325"/>
      <c r="D38" s="325"/>
      <c r="E38" s="328"/>
      <c r="F38" s="325"/>
      <c r="G38" s="331"/>
      <c r="H38" s="334"/>
      <c r="I38" s="316"/>
      <c r="J38" s="337"/>
      <c r="K38" s="316">
        <f>IF(NOT(ISERROR(MATCH(J38,_xlfn.ANCHORARRAY(E49),0))),I51&amp;"Por favor no seleccionar los criterios de impacto",J38)</f>
        <v>0</v>
      </c>
      <c r="L38" s="334"/>
      <c r="M38" s="316"/>
      <c r="N38" s="319"/>
      <c r="O38" s="123">
        <v>3</v>
      </c>
      <c r="P38" s="136"/>
      <c r="Q38" s="125" t="str">
        <f>IF(OR(R38="Preventivo",R38="Detectivo"),"Probabilidad",IF(R38="Correctivo","Impacto",""))</f>
        <v/>
      </c>
      <c r="R38" s="126"/>
      <c r="S38" s="126"/>
      <c r="T38" s="127" t="str">
        <f t="shared" si="13"/>
        <v/>
      </c>
      <c r="U38" s="126"/>
      <c r="V38" s="126"/>
      <c r="W38" s="126"/>
      <c r="X38" s="128" t="str">
        <f>IFERROR(IF(AND(Q37="Probabilidad",Q38="Probabilidad"),(Z37-(+Z37*T38)),IF(AND(Q37="Impacto",Q38="Probabilidad"),(Z36-(+Z36*T38)),IF(Q38="Impacto",Z37,""))),"")</f>
        <v/>
      </c>
      <c r="Y38" s="129" t="str">
        <f t="shared" si="2"/>
        <v/>
      </c>
      <c r="Z38" s="130" t="str">
        <f t="shared" si="14"/>
        <v/>
      </c>
      <c r="AA38" s="129" t="str">
        <f t="shared" si="4"/>
        <v/>
      </c>
      <c r="AB38" s="130" t="str">
        <f>IFERROR(IF(AND(Q37="Impacto",Q38="Impacto"),(AB37-(+AB37*T38)),IF(AND(Q37="Probabilidad",Q38="Impacto"),(AB36-(+AB36*T38)),IF(Q38="Probabilidad",AB37,""))),"")</f>
        <v/>
      </c>
      <c r="AC38" s="131" t="str">
        <f t="shared" si="15"/>
        <v/>
      </c>
      <c r="AD38" s="132"/>
      <c r="AE38" s="133"/>
      <c r="AF38" s="134"/>
      <c r="AG38" s="135"/>
      <c r="AH38" s="135"/>
      <c r="AI38" s="133"/>
      <c r="AJ38" s="134"/>
    </row>
    <row r="39" spans="1:68" ht="18" hidden="1" customHeight="1" x14ac:dyDescent="0.3">
      <c r="A39" s="322"/>
      <c r="B39" s="325"/>
      <c r="C39" s="325"/>
      <c r="D39" s="325"/>
      <c r="E39" s="328"/>
      <c r="F39" s="325"/>
      <c r="G39" s="331"/>
      <c r="H39" s="334"/>
      <c r="I39" s="316"/>
      <c r="J39" s="337"/>
      <c r="K39" s="316">
        <f>IF(NOT(ISERROR(MATCH(J39,_xlfn.ANCHORARRAY(E50),0))),I52&amp;"Por favor no seleccionar los criterios de impacto",J39)</f>
        <v>0</v>
      </c>
      <c r="L39" s="334"/>
      <c r="M39" s="316"/>
      <c r="N39" s="319"/>
      <c r="O39" s="123">
        <v>4</v>
      </c>
      <c r="P39" s="124"/>
      <c r="Q39" s="125" t="str">
        <f t="shared" ref="Q39:Q41" si="16">IF(OR(R39="Preventivo",R39="Detectivo"),"Probabilidad",IF(R39="Correctivo","Impacto",""))</f>
        <v/>
      </c>
      <c r="R39" s="126"/>
      <c r="S39" s="126"/>
      <c r="T39" s="127" t="str">
        <f t="shared" si="13"/>
        <v/>
      </c>
      <c r="U39" s="126"/>
      <c r="V39" s="126"/>
      <c r="W39" s="126"/>
      <c r="X39" s="128" t="str">
        <f t="shared" ref="X39:X41" si="17">IFERROR(IF(AND(Q38="Probabilidad",Q39="Probabilidad"),(Z38-(+Z38*T39)),IF(AND(Q38="Impacto",Q39="Probabilidad"),(Z37-(+Z37*T39)),IF(Q39="Impacto",Z38,""))),"")</f>
        <v/>
      </c>
      <c r="Y39" s="129" t="str">
        <f t="shared" si="2"/>
        <v/>
      </c>
      <c r="Z39" s="130" t="str">
        <f t="shared" si="14"/>
        <v/>
      </c>
      <c r="AA39" s="129" t="str">
        <f t="shared" si="4"/>
        <v/>
      </c>
      <c r="AB39" s="130" t="str">
        <f t="shared" ref="AB39:AB41" si="18">IFERROR(IF(AND(Q38="Impacto",Q39="Impacto"),(AB38-(+AB38*T39)),IF(AND(Q38="Probabilidad",Q39="Impacto"),(AB37-(+AB37*T39)),IF(Q39="Probabilidad",AB38,""))),"")</f>
        <v/>
      </c>
      <c r="AC39" s="13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32"/>
      <c r="AE39" s="133"/>
      <c r="AF39" s="134"/>
      <c r="AG39" s="135"/>
      <c r="AH39" s="135"/>
      <c r="AI39" s="133"/>
      <c r="AJ39" s="134"/>
    </row>
    <row r="40" spans="1:68" ht="18" hidden="1" customHeight="1" x14ac:dyDescent="0.3">
      <c r="A40" s="322"/>
      <c r="B40" s="325"/>
      <c r="C40" s="325"/>
      <c r="D40" s="325"/>
      <c r="E40" s="328"/>
      <c r="F40" s="325"/>
      <c r="G40" s="331"/>
      <c r="H40" s="334"/>
      <c r="I40" s="316"/>
      <c r="J40" s="337"/>
      <c r="K40" s="316">
        <f>IF(NOT(ISERROR(MATCH(J40,_xlfn.ANCHORARRAY(E51),0))),I53&amp;"Por favor no seleccionar los criterios de impacto",J40)</f>
        <v>0</v>
      </c>
      <c r="L40" s="334"/>
      <c r="M40" s="316"/>
      <c r="N40" s="319"/>
      <c r="O40" s="123">
        <v>5</v>
      </c>
      <c r="P40" s="124"/>
      <c r="Q40" s="125" t="str">
        <f t="shared" si="16"/>
        <v/>
      </c>
      <c r="R40" s="126"/>
      <c r="S40" s="126"/>
      <c r="T40" s="127" t="str">
        <f t="shared" si="13"/>
        <v/>
      </c>
      <c r="U40" s="126"/>
      <c r="V40" s="126"/>
      <c r="W40" s="126"/>
      <c r="X40" s="128" t="str">
        <f t="shared" si="17"/>
        <v/>
      </c>
      <c r="Y40" s="129" t="str">
        <f t="shared" si="2"/>
        <v/>
      </c>
      <c r="Z40" s="130" t="str">
        <f t="shared" si="14"/>
        <v/>
      </c>
      <c r="AA40" s="129" t="str">
        <f t="shared" si="4"/>
        <v/>
      </c>
      <c r="AB40" s="130" t="str">
        <f t="shared" si="18"/>
        <v/>
      </c>
      <c r="AC40" s="131" t="str">
        <f t="shared" ref="AC40:AC41" si="1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2"/>
      <c r="AE40" s="133"/>
      <c r="AF40" s="134"/>
      <c r="AG40" s="135"/>
      <c r="AH40" s="135"/>
      <c r="AI40" s="133"/>
      <c r="AJ40" s="134"/>
    </row>
    <row r="41" spans="1:68" ht="18" hidden="1" customHeight="1" x14ac:dyDescent="0.3">
      <c r="A41" s="323"/>
      <c r="B41" s="326"/>
      <c r="C41" s="326"/>
      <c r="D41" s="326"/>
      <c r="E41" s="329"/>
      <c r="F41" s="326"/>
      <c r="G41" s="332"/>
      <c r="H41" s="335"/>
      <c r="I41" s="317"/>
      <c r="J41" s="338"/>
      <c r="K41" s="317">
        <f>IF(NOT(ISERROR(MATCH(J41,_xlfn.ANCHORARRAY(E52),0))),I54&amp;"Por favor no seleccionar los criterios de impacto",J41)</f>
        <v>0</v>
      </c>
      <c r="L41" s="335"/>
      <c r="M41" s="317"/>
      <c r="N41" s="320"/>
      <c r="O41" s="123">
        <v>6</v>
      </c>
      <c r="P41" s="124"/>
      <c r="Q41" s="125" t="str">
        <f t="shared" si="16"/>
        <v/>
      </c>
      <c r="R41" s="126"/>
      <c r="S41" s="126"/>
      <c r="T41" s="127" t="str">
        <f t="shared" si="13"/>
        <v/>
      </c>
      <c r="U41" s="126"/>
      <c r="V41" s="126"/>
      <c r="W41" s="126"/>
      <c r="X41" s="128" t="str">
        <f t="shared" si="17"/>
        <v/>
      </c>
      <c r="Y41" s="129" t="str">
        <f t="shared" si="2"/>
        <v/>
      </c>
      <c r="Z41" s="130" t="str">
        <f t="shared" si="14"/>
        <v/>
      </c>
      <c r="AA41" s="129" t="str">
        <f t="shared" si="4"/>
        <v/>
      </c>
      <c r="AB41" s="130" t="str">
        <f t="shared" si="18"/>
        <v/>
      </c>
      <c r="AC41" s="131" t="str">
        <f t="shared" si="19"/>
        <v/>
      </c>
      <c r="AD41" s="132"/>
      <c r="AE41" s="133"/>
      <c r="AF41" s="134"/>
      <c r="AG41" s="135"/>
      <c r="AH41" s="135"/>
      <c r="AI41" s="133"/>
      <c r="AJ41" s="134"/>
    </row>
    <row r="42" spans="1:68" ht="49.5" customHeight="1" x14ac:dyDescent="0.3">
      <c r="A42" s="6"/>
      <c r="B42" s="312" t="s">
        <v>89</v>
      </c>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4"/>
    </row>
    <row r="44" spans="1:68" x14ac:dyDescent="0.3">
      <c r="A44" s="1"/>
      <c r="B44" s="24"/>
      <c r="C44" s="1"/>
      <c r="D44" s="1"/>
      <c r="F44" s="1"/>
    </row>
  </sheetData>
  <dataConsolidate/>
  <mergeCells count="106">
    <mergeCell ref="J23:J24"/>
    <mergeCell ref="K23:K24"/>
    <mergeCell ref="Q23:Q24"/>
    <mergeCell ref="R23:W23"/>
    <mergeCell ref="A1:AE5"/>
    <mergeCell ref="W12:AB12"/>
    <mergeCell ref="W14:AB14"/>
    <mergeCell ref="A15:J15"/>
    <mergeCell ref="N7:S7"/>
    <mergeCell ref="W9:AB9"/>
    <mergeCell ref="P8:S8"/>
    <mergeCell ref="P9:S9"/>
    <mergeCell ref="P12:S12"/>
    <mergeCell ref="P14:S14"/>
    <mergeCell ref="P10:S10"/>
    <mergeCell ref="P11:S11"/>
    <mergeCell ref="A19:B19"/>
    <mergeCell ref="A20:B20"/>
    <mergeCell ref="A21:B21"/>
    <mergeCell ref="A23:A24"/>
    <mergeCell ref="F23:F24"/>
    <mergeCell ref="E23:E24"/>
    <mergeCell ref="P13:S13"/>
    <mergeCell ref="A16:AJ17"/>
    <mergeCell ref="A26:A27"/>
    <mergeCell ref="B26:B27"/>
    <mergeCell ref="D26:D27"/>
    <mergeCell ref="E26:E27"/>
    <mergeCell ref="D23:D24"/>
    <mergeCell ref="C23:C24"/>
    <mergeCell ref="AD23:AD24"/>
    <mergeCell ref="C20:N20"/>
    <mergeCell ref="C21:N21"/>
    <mergeCell ref="O23:O24"/>
    <mergeCell ref="AC23:AC24"/>
    <mergeCell ref="AB23:AB24"/>
    <mergeCell ref="X23:X24"/>
    <mergeCell ref="P23:P24"/>
    <mergeCell ref="AA23:AA24"/>
    <mergeCell ref="Y23:Y24"/>
    <mergeCell ref="Z23:Z24"/>
    <mergeCell ref="G23:G24"/>
    <mergeCell ref="H23:H24"/>
    <mergeCell ref="I23:I24"/>
    <mergeCell ref="L23:L24"/>
    <mergeCell ref="M23:M24"/>
    <mergeCell ref="B23:B24"/>
    <mergeCell ref="N23:N24"/>
    <mergeCell ref="L30:L35"/>
    <mergeCell ref="A30:A35"/>
    <mergeCell ref="B30:B35"/>
    <mergeCell ref="C30:C35"/>
    <mergeCell ref="D30:D35"/>
    <mergeCell ref="E30:E35"/>
    <mergeCell ref="F30:F35"/>
    <mergeCell ref="G30:G35"/>
    <mergeCell ref="H30:H35"/>
    <mergeCell ref="I30:I35"/>
    <mergeCell ref="H22:N22"/>
    <mergeCell ref="O22:W22"/>
    <mergeCell ref="X22:AD22"/>
    <mergeCell ref="AE22:AJ22"/>
    <mergeCell ref="B42:AJ42"/>
    <mergeCell ref="M30:M35"/>
    <mergeCell ref="N30:N35"/>
    <mergeCell ref="A36:A41"/>
    <mergeCell ref="B36:B41"/>
    <mergeCell ref="C36:C41"/>
    <mergeCell ref="D36:D41"/>
    <mergeCell ref="E36:E41"/>
    <mergeCell ref="F36:F41"/>
    <mergeCell ref="G36:G41"/>
    <mergeCell ref="H36:H41"/>
    <mergeCell ref="I36:I41"/>
    <mergeCell ref="J36:J41"/>
    <mergeCell ref="K36:K41"/>
    <mergeCell ref="L36:L41"/>
    <mergeCell ref="M36:M41"/>
    <mergeCell ref="N36:N41"/>
    <mergeCell ref="J30:J35"/>
    <mergeCell ref="AD26:AD27"/>
    <mergeCell ref="K30:K35"/>
    <mergeCell ref="AE26:AE27"/>
    <mergeCell ref="AF26:AF27"/>
    <mergeCell ref="AG26:AG27"/>
    <mergeCell ref="AH26:AH27"/>
    <mergeCell ref="AI26:AI27"/>
    <mergeCell ref="AJ26:AJ27"/>
    <mergeCell ref="C19:N19"/>
    <mergeCell ref="O19:Q19"/>
    <mergeCell ref="AE23:AE24"/>
    <mergeCell ref="AJ23:AJ24"/>
    <mergeCell ref="AI23:AI24"/>
    <mergeCell ref="AH23:AH24"/>
    <mergeCell ref="AG23:AG24"/>
    <mergeCell ref="AF23:AF24"/>
    <mergeCell ref="K26:K27"/>
    <mergeCell ref="L26:L27"/>
    <mergeCell ref="M26:M27"/>
    <mergeCell ref="N26:N27"/>
    <mergeCell ref="F26:F27"/>
    <mergeCell ref="G26:G27"/>
    <mergeCell ref="H26:H27"/>
    <mergeCell ref="I26:I27"/>
    <mergeCell ref="J26:J27"/>
    <mergeCell ref="A22:G22"/>
  </mergeCells>
  <conditionalFormatting sqref="H25:H26 Y25:Y41">
    <cfRule type="cellIs" dxfId="37" priority="337" operator="equal">
      <formula>"Muy Baja"</formula>
    </cfRule>
    <cfRule type="cellIs" dxfId="36" priority="333" operator="equal">
      <formula>"Muy Alta"</formula>
    </cfRule>
    <cfRule type="cellIs" dxfId="35" priority="334" operator="equal">
      <formula>"Alta"</formula>
    </cfRule>
    <cfRule type="cellIs" dxfId="34" priority="335" operator="equal">
      <formula>"Media"</formula>
    </cfRule>
    <cfRule type="cellIs" dxfId="33" priority="336" operator="equal">
      <formula>"Baja"</formula>
    </cfRule>
  </conditionalFormatting>
  <conditionalFormatting sqref="H28:H30">
    <cfRule type="cellIs" dxfId="32" priority="70" operator="equal">
      <formula>"Baja"</formula>
    </cfRule>
    <cfRule type="cellIs" dxfId="31" priority="69" operator="equal">
      <formula>"Media"</formula>
    </cfRule>
    <cfRule type="cellIs" dxfId="30" priority="68" operator="equal">
      <formula>"Alta"</formula>
    </cfRule>
    <cfRule type="cellIs" dxfId="29" priority="67" operator="equal">
      <formula>"Muy Alta"</formula>
    </cfRule>
    <cfRule type="cellIs" dxfId="28" priority="71" operator="equal">
      <formula>"Muy Baja"</formula>
    </cfRule>
  </conditionalFormatting>
  <conditionalFormatting sqref="H36">
    <cfRule type="cellIs" dxfId="27" priority="41" operator="equal">
      <formula>"Media"</formula>
    </cfRule>
    <cfRule type="cellIs" dxfId="26" priority="42" operator="equal">
      <formula>"Baja"</formula>
    </cfRule>
    <cfRule type="cellIs" dxfId="25" priority="43" operator="equal">
      <formula>"Muy Baja"</formula>
    </cfRule>
    <cfRule type="cellIs" dxfId="24" priority="39" operator="equal">
      <formula>"Muy Alta"</formula>
    </cfRule>
    <cfRule type="cellIs" dxfId="23" priority="40" operator="equal">
      <formula>"Alta"</formula>
    </cfRule>
  </conditionalFormatting>
  <conditionalFormatting sqref="K25:K41">
    <cfRule type="containsText" dxfId="22" priority="15" operator="containsText" text="❌">
      <formula>NOT(ISERROR(SEARCH("❌",K25)))</formula>
    </cfRule>
  </conditionalFormatting>
  <conditionalFormatting sqref="L25:L26 AA25:AA41">
    <cfRule type="cellIs" dxfId="21" priority="5" operator="equal">
      <formula>"Catastrófico"</formula>
    </cfRule>
    <cfRule type="cellIs" dxfId="20" priority="6" operator="equal">
      <formula>"Mayor"</formula>
    </cfRule>
    <cfRule type="cellIs" dxfId="19" priority="7" operator="equal">
      <formula>"Moderado"</formula>
    </cfRule>
    <cfRule type="cellIs" dxfId="18" priority="8" operator="equal">
      <formula>"Menor"</formula>
    </cfRule>
    <cfRule type="cellIs" dxfId="17" priority="9" operator="equal">
      <formula>"Leve"</formula>
    </cfRule>
  </conditionalFormatting>
  <conditionalFormatting sqref="L28:L30 L36">
    <cfRule type="cellIs" dxfId="16" priority="328" operator="equal">
      <formula>"Catastrófico"</formula>
    </cfRule>
    <cfRule type="cellIs" dxfId="15" priority="329" operator="equal">
      <formula>"Mayor"</formula>
    </cfRule>
    <cfRule type="cellIs" dxfId="14" priority="330" operator="equal">
      <formula>"Moderado"</formula>
    </cfRule>
    <cfRule type="cellIs" dxfId="13" priority="331" operator="equal">
      <formula>"Menor"</formula>
    </cfRule>
    <cfRule type="cellIs" dxfId="12" priority="332" operator="equal">
      <formula>"Leve"</formula>
    </cfRule>
  </conditionalFormatting>
  <conditionalFormatting sqref="N25:N26 AC25:AC41">
    <cfRule type="cellIs" dxfId="11" priority="4" operator="equal">
      <formula>"Bajo"</formula>
    </cfRule>
    <cfRule type="cellIs" dxfId="10" priority="1" operator="equal">
      <formula>"Extremo"</formula>
    </cfRule>
    <cfRule type="cellIs" dxfId="9" priority="2" operator="equal">
      <formula>"Alto"</formula>
    </cfRule>
    <cfRule type="cellIs" dxfId="8" priority="3" operator="equal">
      <formula>"Moderado"</formula>
    </cfRule>
  </conditionalFormatting>
  <conditionalFormatting sqref="N28:N30">
    <cfRule type="cellIs" dxfId="7" priority="59" operator="equal">
      <formula>"Alto"</formula>
    </cfRule>
    <cfRule type="cellIs" dxfId="6" priority="60" operator="equal">
      <formula>"Moderado"</formula>
    </cfRule>
    <cfRule type="cellIs" dxfId="5" priority="61" operator="equal">
      <formula>"Bajo"</formula>
    </cfRule>
    <cfRule type="cellIs" dxfId="4" priority="58" operator="equal">
      <formula>"Extremo"</formula>
    </cfRule>
  </conditionalFormatting>
  <conditionalFormatting sqref="N36">
    <cfRule type="cellIs" dxfId="3" priority="33" operator="equal">
      <formula>"Bajo"</formula>
    </cfRule>
    <cfRule type="cellIs" dxfId="2" priority="32" operator="equal">
      <formula>"Moderado"</formula>
    </cfRule>
    <cfRule type="cellIs" dxfId="1" priority="31" operator="equal">
      <formula>"Alto"</formula>
    </cfRule>
    <cfRule type="cellIs" dxfId="0" priority="30" operator="equal">
      <formula>"Extremo"</formula>
    </cfRule>
  </conditionalFormatting>
  <pageMargins left="0.7" right="0.7" top="0.75" bottom="0.75" header="0.3" footer="0.3"/>
  <pageSetup orientation="portrait" r:id="rId1"/>
  <ignoredErrors>
    <ignoredError sqref="AB27" formula="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'Opciones Tratamiento'!$B$9:$B$10</xm:f>
          </x14:formula1>
          <xm:sqref>AJ33:AJ34 AJ36:AJ37 AJ39:AJ40 AJ25:AJ31</xm:sqref>
        </x14:dataValidation>
        <x14:dataValidation type="list" allowBlank="1" showInputMessage="1" showErrorMessage="1" xr:uid="{00000000-0002-0000-0100-000006000000}">
          <x14:formula1>
            <xm:f>'Opciones Tratamiento'!$B$13:$B$19</xm:f>
          </x14:formula1>
          <xm:sqref>F30:F41</xm:sqref>
        </x14:dataValidation>
        <x14:dataValidation type="list" allowBlank="1" showInputMessage="1" showErrorMessage="1" xr:uid="{00000000-0002-0000-0100-000000000000}">
          <x14:formula1>
            <xm:f>'Tabla Valoración controles'!$D$4:$D$6</xm:f>
          </x14:formula1>
          <xm:sqref>R25:R41</xm:sqref>
        </x14:dataValidation>
        <x14:dataValidation type="list" allowBlank="1" showInputMessage="1" showErrorMessage="1" xr:uid="{00000000-0002-0000-0100-000001000000}">
          <x14:formula1>
            <xm:f>'Tabla Valoración controles'!$D$7:$D$8</xm:f>
          </x14:formula1>
          <xm:sqref>S25:S41</xm:sqref>
        </x14:dataValidation>
        <x14:dataValidation type="list" allowBlank="1" showInputMessage="1" showErrorMessage="1" xr:uid="{00000000-0002-0000-0100-000002000000}">
          <x14:formula1>
            <xm:f>'Tabla Valoración controles'!$D$9:$D$10</xm:f>
          </x14:formula1>
          <xm:sqref>U25:U41</xm:sqref>
        </x14:dataValidation>
        <x14:dataValidation type="list" allowBlank="1" showInputMessage="1" showErrorMessage="1" xr:uid="{00000000-0002-0000-0100-000003000000}">
          <x14:formula1>
            <xm:f>'Tabla Valoración controles'!$D$11:$D$12</xm:f>
          </x14:formula1>
          <xm:sqref>V25:V41</xm:sqref>
        </x14:dataValidation>
        <x14:dataValidation type="list" allowBlank="1" showInputMessage="1" showErrorMessage="1" xr:uid="{00000000-0002-0000-0100-000005000000}">
          <x14:formula1>
            <xm:f>'Tabla Valoración controles'!$D$13:$D$14</xm:f>
          </x14:formula1>
          <xm:sqref>W25:W41</xm:sqref>
        </x14:dataValidation>
        <x14:dataValidation type="list" allowBlank="1" showInputMessage="1" showErrorMessage="1" xr:uid="{00000000-0002-0000-0100-000008000000}">
          <x14:formula1>
            <xm:f>'Opciones Tratamiento'!$B$2:$B$5</xm:f>
          </x14:formula1>
          <xm:sqref>AD25:AD26 AD28:AD41</xm:sqref>
        </x14:dataValidation>
        <x14:dataValidation type="custom" allowBlank="1" showInputMessage="1" showErrorMessage="1" error="Recuerde que las acciones se generan bajo la medida de mitigar el riesgo" xr:uid="{00000000-0002-0000-0100-00000A000000}">
          <x14:formula1>
            <xm:f>IF(OR(AD25='Opciones Tratamiento'!$B$2,AD25='Opciones Tratamiento'!$B$3,AD25='Opciones Tratamiento'!$B$4),ISBLANK(AD25),ISTEXT(AD25))</xm:f>
          </x14:formula1>
          <xm:sqref>AE25:AE26 AE28:AE41</xm:sqref>
        </x14:dataValidation>
        <x14:dataValidation type="list" allowBlank="1" showInputMessage="1" showErrorMessage="1" xr:uid="{5B4BFEDF-535D-4676-A2D9-BF1564B5BA44}">
          <x14:formula1>
            <xm:f>'Impacto-clasificacion'!$D$3:$D$10</xm:f>
          </x14:formula1>
          <xm:sqref>F26:F29</xm:sqref>
        </x14:dataValidation>
        <x14:dataValidation type="list" allowBlank="1" showInputMessage="1" showErrorMessage="1" xr:uid="{8DAD2BC1-1BDC-471A-A521-4F3A16793D70}">
          <x14:formula1>
            <xm:f>'Tabla Impacto'!$F$210:$F$227</xm:f>
          </x14:formula1>
          <xm:sqref>J26:J41</xm:sqref>
        </x14:dataValidation>
        <x14:dataValidation type="custom" allowBlank="1" showInputMessage="1" showErrorMessage="1" error="Recuerde que las acciones se generan bajo la medida de mitigar el riesgo" xr:uid="{00000000-0002-0000-0100-00000B000000}">
          <x14:formula1>
            <xm:f>IF(OR(AD25='Opciones Tratamiento'!$B$2,AD25='Opciones Tratamiento'!$B$3,AD25='Opciones Tratamiento'!$B$4),ISBLANK(AD25),ISTEXT(AD25))</xm:f>
          </x14:formula1>
          <xm:sqref>AF25:AF41</xm:sqref>
        </x14:dataValidation>
        <x14:dataValidation type="custom" allowBlank="1" showInputMessage="1" showErrorMessage="1" error="Recuerde que las acciones se generan bajo la medida de mitigar el riesgo" xr:uid="{00000000-0002-0000-0100-00000C000000}">
          <x14:formula1>
            <xm:f>IF(OR(AD25='Opciones Tratamiento'!$B$2,AD25='Opciones Tratamiento'!$B$3,AD25='Opciones Tratamiento'!$B$4),ISBLANK(AD25),ISTEXT(AD25))</xm:f>
          </x14:formula1>
          <xm:sqref>AG25:AG41</xm:sqref>
        </x14:dataValidation>
        <x14:dataValidation type="custom" allowBlank="1" showInputMessage="1" showErrorMessage="1" error="Recuerde que las acciones se generan bajo la medida de mitigar el riesgo" xr:uid="{00000000-0002-0000-0100-00000D000000}">
          <x14:formula1>
            <xm:f>IF(OR(AD25='Opciones Tratamiento'!$B$2,AD25='Opciones Tratamiento'!$B$3,AD25='Opciones Tratamiento'!$B$4),ISBLANK(AD25),ISTEXT(AD25))</xm:f>
          </x14:formula1>
          <xm:sqref>AH25:AH41</xm:sqref>
        </x14:dataValidation>
        <x14:dataValidation type="custom" allowBlank="1" showInputMessage="1" showErrorMessage="1" error="Recuerde que las acciones se generan bajo la medida de mitigar el riesgo" xr:uid="{00000000-0002-0000-0100-00000E000000}">
          <x14:formula1>
            <xm:f>IF(OR(AD25='Opciones Tratamiento'!$B$2,AD25='Opciones Tratamiento'!$B$3,AD25='Opciones Tratamiento'!$B$4),ISBLANK(AD25),ISTEXT(AD25))</xm:f>
          </x14:formula1>
          <xm:sqref>AI25:AI41</xm:sqref>
        </x14:dataValidation>
        <x14:dataValidation type="list" allowBlank="1" showInputMessage="1" showErrorMessage="1" xr:uid="{A08F2382-C520-458D-822B-27E981004C95}">
          <x14:formula1>
            <xm:f>'Impacto-clasificacion'!$A$3:$A$6</xm:f>
          </x14:formula1>
          <xm:sqref>B25:B41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60AC-28F7-489F-8FA7-03900777C28F}">
  <dimension ref="A2:D10"/>
  <sheetViews>
    <sheetView workbookViewId="0">
      <selection activeCell="E12" sqref="E12"/>
    </sheetView>
  </sheetViews>
  <sheetFormatPr baseColWidth="10" defaultRowHeight="15" x14ac:dyDescent="0.25"/>
  <sheetData>
    <row r="2" spans="1:4" x14ac:dyDescent="0.25">
      <c r="A2" t="s">
        <v>13</v>
      </c>
    </row>
    <row r="3" spans="1:4" x14ac:dyDescent="0.25">
      <c r="A3" t="s">
        <v>190</v>
      </c>
      <c r="D3" t="s">
        <v>231</v>
      </c>
    </row>
    <row r="4" spans="1:4" x14ac:dyDescent="0.25">
      <c r="A4" t="s">
        <v>192</v>
      </c>
      <c r="D4" t="s">
        <v>232</v>
      </c>
    </row>
    <row r="5" spans="1:4" x14ac:dyDescent="0.25">
      <c r="A5" t="s">
        <v>194</v>
      </c>
      <c r="D5" t="s">
        <v>233</v>
      </c>
    </row>
    <row r="6" spans="1:4" x14ac:dyDescent="0.25">
      <c r="A6" t="s">
        <v>230</v>
      </c>
      <c r="D6" t="s">
        <v>202</v>
      </c>
    </row>
    <row r="7" spans="1:4" x14ac:dyDescent="0.25">
      <c r="D7" t="s">
        <v>203</v>
      </c>
    </row>
    <row r="8" spans="1:4" x14ac:dyDescent="0.25">
      <c r="D8" t="s">
        <v>204</v>
      </c>
    </row>
    <row r="9" spans="1:4" x14ac:dyDescent="0.25">
      <c r="D9" t="s">
        <v>234</v>
      </c>
    </row>
    <row r="10" spans="1:4" x14ac:dyDescent="0.25">
      <c r="D10" t="s">
        <v>235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ColWidth="11.42578125" defaultRowHeight="15" x14ac:dyDescent="0.25"/>
  <cols>
    <col min="2" max="39" width="5.5703125" customWidth="1"/>
    <col min="41" max="46" width="5.570312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69" t="s">
        <v>90</v>
      </c>
      <c r="C2" s="469"/>
      <c r="D2" s="469"/>
      <c r="E2" s="469"/>
      <c r="F2" s="469"/>
      <c r="G2" s="469"/>
      <c r="H2" s="469"/>
      <c r="I2" s="469"/>
      <c r="J2" s="437" t="s">
        <v>13</v>
      </c>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69"/>
      <c r="C3" s="469"/>
      <c r="D3" s="469"/>
      <c r="E3" s="469"/>
      <c r="F3" s="469"/>
      <c r="G3" s="469"/>
      <c r="H3" s="469"/>
      <c r="I3" s="469"/>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69"/>
      <c r="C4" s="469"/>
      <c r="D4" s="469"/>
      <c r="E4" s="469"/>
      <c r="F4" s="469"/>
      <c r="G4" s="469"/>
      <c r="H4" s="469"/>
      <c r="I4" s="469"/>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384" t="s">
        <v>91</v>
      </c>
      <c r="C6" s="384"/>
      <c r="D6" s="385"/>
      <c r="E6" s="422" t="s">
        <v>92</v>
      </c>
      <c r="F6" s="423"/>
      <c r="G6" s="423"/>
      <c r="H6" s="423"/>
      <c r="I6" s="424"/>
      <c r="J6" s="433" t="str">
        <f>IF(AND('Mapa final'!$H$25="Muy Alta",'Mapa final'!$L$25="Leve"),CONCATENATE("R",'Mapa final'!$A$25),"")</f>
        <v/>
      </c>
      <c r="K6" s="434"/>
      <c r="L6" s="434" t="str">
        <f>IF(AND('Mapa final'!$H$26="Muy Alta",'Mapa final'!$L$26="Leve"),CONCATENATE("R",'Mapa final'!$A$26),"")</f>
        <v/>
      </c>
      <c r="M6" s="434"/>
      <c r="N6" s="434" t="str">
        <f>IF(AND('Mapa final'!$H$28="Muy Alta",'Mapa final'!$L$28="Leve"),CONCATENATE("R",'Mapa final'!$A$28),"")</f>
        <v/>
      </c>
      <c r="O6" s="436"/>
      <c r="P6" s="433" t="str">
        <f>IF(AND('Mapa final'!$H$25="Muy Alta",'Mapa final'!$L$25="Menor"),CONCATENATE("R",'Mapa final'!$A$25),"")</f>
        <v/>
      </c>
      <c r="Q6" s="434"/>
      <c r="R6" s="434" t="str">
        <f>IF(AND('Mapa final'!$H$26="Muy Alta",'Mapa final'!$L$26="Menor"),CONCATENATE("R",'Mapa final'!$A$26),"")</f>
        <v/>
      </c>
      <c r="S6" s="434"/>
      <c r="T6" s="434" t="str">
        <f>IF(AND('Mapa final'!$H$28="Muy Alta",'Mapa final'!$L$28="Menor"),CONCATENATE("R",'Mapa final'!$A$28),"")</f>
        <v/>
      </c>
      <c r="U6" s="436"/>
      <c r="V6" s="433" t="str">
        <f>IF(AND('Mapa final'!$H$25="Muy Alta",'Mapa final'!$L$25="Moderado"),CONCATENATE("R",'Mapa final'!$A$25),"")</f>
        <v/>
      </c>
      <c r="W6" s="434"/>
      <c r="X6" s="434" t="str">
        <f>IF(AND('Mapa final'!$H$26="Muy Alta",'Mapa final'!$L$26="Moderado"),CONCATENATE("R",'Mapa final'!$A$26),"")</f>
        <v/>
      </c>
      <c r="Y6" s="434"/>
      <c r="Z6" s="434" t="str">
        <f>IF(AND('Mapa final'!$H$28="Muy Alta",'Mapa final'!$L$28="Moderado"),CONCATENATE("R",'Mapa final'!$A$28),"")</f>
        <v/>
      </c>
      <c r="AA6" s="436"/>
      <c r="AB6" s="433" t="str">
        <f>IF(AND('Mapa final'!$H$25="Muy Alta",'Mapa final'!$L$25="Mayor"),CONCATENATE("R",'Mapa final'!$A$25),"")</f>
        <v/>
      </c>
      <c r="AC6" s="434"/>
      <c r="AD6" s="434" t="str">
        <f>IF(AND('Mapa final'!$H$26="Muy Alta",'Mapa final'!$L$26="Mayor"),CONCATENATE("R",'Mapa final'!$A$26),"")</f>
        <v/>
      </c>
      <c r="AE6" s="434"/>
      <c r="AF6" s="434" t="str">
        <f>IF(AND('Mapa final'!$H$28="Muy Alta",'Mapa final'!$L$28="Mayor"),CONCATENATE("R",'Mapa final'!$A$28),"")</f>
        <v/>
      </c>
      <c r="AG6" s="436"/>
      <c r="AH6" s="448" t="str">
        <f>IF(AND('Mapa final'!$H$25="Muy Alta",'Mapa final'!$L$25="Catastrófico"),CONCATENATE("R",'Mapa final'!$A$25),"")</f>
        <v/>
      </c>
      <c r="AI6" s="449"/>
      <c r="AJ6" s="449" t="str">
        <f>IF(AND('Mapa final'!$H$26="Muy Alta",'Mapa final'!$L$26="Catastrófico"),CONCATENATE("R",'Mapa final'!$A$26),"")</f>
        <v/>
      </c>
      <c r="AK6" s="449"/>
      <c r="AL6" s="449" t="str">
        <f>IF(AND('Mapa final'!$H$28="Muy Alta",'Mapa final'!$L$28="Catastrófico"),CONCATENATE("R",'Mapa final'!$A$28),"")</f>
        <v/>
      </c>
      <c r="AM6" s="450"/>
      <c r="AO6" s="386" t="s">
        <v>93</v>
      </c>
      <c r="AP6" s="387"/>
      <c r="AQ6" s="387"/>
      <c r="AR6" s="387"/>
      <c r="AS6" s="387"/>
      <c r="AT6" s="38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384"/>
      <c r="C7" s="384"/>
      <c r="D7" s="385"/>
      <c r="E7" s="425"/>
      <c r="F7" s="426"/>
      <c r="G7" s="426"/>
      <c r="H7" s="426"/>
      <c r="I7" s="427"/>
      <c r="J7" s="435"/>
      <c r="K7" s="431"/>
      <c r="L7" s="431"/>
      <c r="M7" s="431"/>
      <c r="N7" s="431"/>
      <c r="O7" s="432"/>
      <c r="P7" s="435"/>
      <c r="Q7" s="431"/>
      <c r="R7" s="431"/>
      <c r="S7" s="431"/>
      <c r="T7" s="431"/>
      <c r="U7" s="432"/>
      <c r="V7" s="435"/>
      <c r="W7" s="431"/>
      <c r="X7" s="431"/>
      <c r="Y7" s="431"/>
      <c r="Z7" s="431"/>
      <c r="AA7" s="432"/>
      <c r="AB7" s="435"/>
      <c r="AC7" s="431"/>
      <c r="AD7" s="431"/>
      <c r="AE7" s="431"/>
      <c r="AF7" s="431"/>
      <c r="AG7" s="432"/>
      <c r="AH7" s="442"/>
      <c r="AI7" s="443"/>
      <c r="AJ7" s="443"/>
      <c r="AK7" s="443"/>
      <c r="AL7" s="443"/>
      <c r="AM7" s="444"/>
      <c r="AN7" s="83"/>
      <c r="AO7" s="389"/>
      <c r="AP7" s="390"/>
      <c r="AQ7" s="390"/>
      <c r="AR7" s="390"/>
      <c r="AS7" s="390"/>
      <c r="AT7" s="39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384"/>
      <c r="C8" s="384"/>
      <c r="D8" s="385"/>
      <c r="E8" s="425"/>
      <c r="F8" s="426"/>
      <c r="G8" s="426"/>
      <c r="H8" s="426"/>
      <c r="I8" s="427"/>
      <c r="J8" s="435" t="e">
        <f>IF(AND('Mapa final'!#REF!="Muy Alta",'Mapa final'!#REF!="Leve"),CONCATENATE("R",'Mapa final'!#REF!),"")</f>
        <v>#REF!</v>
      </c>
      <c r="K8" s="431"/>
      <c r="L8" s="431" t="e">
        <f>IF(AND('Mapa final'!#REF!="Muy Alta",'Mapa final'!#REF!="Leve"),CONCATENATE("R",'Mapa final'!#REF!),"")</f>
        <v>#REF!</v>
      </c>
      <c r="M8" s="431"/>
      <c r="N8" s="431" t="e">
        <f>IF(AND('Mapa final'!#REF!="Muy Alta",'Mapa final'!#REF!="Leve"),CONCATENATE("R",'Mapa final'!#REF!),"")</f>
        <v>#REF!</v>
      </c>
      <c r="O8" s="432"/>
      <c r="P8" s="435" t="e">
        <f>IF(AND('Mapa final'!#REF!="Muy Alta",'Mapa final'!#REF!="Menor"),CONCATENATE("R",'Mapa final'!#REF!),"")</f>
        <v>#REF!</v>
      </c>
      <c r="Q8" s="431"/>
      <c r="R8" s="431" t="e">
        <f>IF(AND('Mapa final'!#REF!="Muy Alta",'Mapa final'!#REF!="Menor"),CONCATENATE("R",'Mapa final'!#REF!),"")</f>
        <v>#REF!</v>
      </c>
      <c r="S8" s="431"/>
      <c r="T8" s="431" t="e">
        <f>IF(AND('Mapa final'!#REF!="Muy Alta",'Mapa final'!#REF!="Menor"),CONCATENATE("R",'Mapa final'!#REF!),"")</f>
        <v>#REF!</v>
      </c>
      <c r="U8" s="432"/>
      <c r="V8" s="435" t="e">
        <f>IF(AND('Mapa final'!#REF!="Muy Alta",'Mapa final'!#REF!="Moderado"),CONCATENATE("R",'Mapa final'!#REF!),"")</f>
        <v>#REF!</v>
      </c>
      <c r="W8" s="431"/>
      <c r="X8" s="431" t="e">
        <f>IF(AND('Mapa final'!#REF!="Muy Alta",'Mapa final'!#REF!="Moderado"),CONCATENATE("R",'Mapa final'!#REF!),"")</f>
        <v>#REF!</v>
      </c>
      <c r="Y8" s="431"/>
      <c r="Z8" s="431" t="e">
        <f>IF(AND('Mapa final'!#REF!="Muy Alta",'Mapa final'!#REF!="Moderado"),CONCATENATE("R",'Mapa final'!#REF!),"")</f>
        <v>#REF!</v>
      </c>
      <c r="AA8" s="432"/>
      <c r="AB8" s="435" t="e">
        <f>IF(AND('Mapa final'!#REF!="Muy Alta",'Mapa final'!#REF!="Mayor"),CONCATENATE("R",'Mapa final'!#REF!),"")</f>
        <v>#REF!</v>
      </c>
      <c r="AC8" s="431"/>
      <c r="AD8" s="431" t="e">
        <f>IF(AND('Mapa final'!#REF!="Muy Alta",'Mapa final'!#REF!="Mayor"),CONCATENATE("R",'Mapa final'!#REF!),"")</f>
        <v>#REF!</v>
      </c>
      <c r="AE8" s="431"/>
      <c r="AF8" s="431" t="e">
        <f>IF(AND('Mapa final'!#REF!="Muy Alta",'Mapa final'!#REF!="Mayor"),CONCATENATE("R",'Mapa final'!#REF!),"")</f>
        <v>#REF!</v>
      </c>
      <c r="AG8" s="432"/>
      <c r="AH8" s="442" t="e">
        <f>IF(AND('Mapa final'!#REF!="Muy Alta",'Mapa final'!#REF!="Catastrófico"),CONCATENATE("R",'Mapa final'!#REF!),"")</f>
        <v>#REF!</v>
      </c>
      <c r="AI8" s="443"/>
      <c r="AJ8" s="443" t="e">
        <f>IF(AND('Mapa final'!#REF!="Muy Alta",'Mapa final'!#REF!="Catastrófico"),CONCATENATE("R",'Mapa final'!#REF!),"")</f>
        <v>#REF!</v>
      </c>
      <c r="AK8" s="443"/>
      <c r="AL8" s="443" t="e">
        <f>IF(AND('Mapa final'!#REF!="Muy Alta",'Mapa final'!#REF!="Catastrófico"),CONCATENATE("R",'Mapa final'!#REF!),"")</f>
        <v>#REF!</v>
      </c>
      <c r="AM8" s="444"/>
      <c r="AN8" s="83"/>
      <c r="AO8" s="389"/>
      <c r="AP8" s="390"/>
      <c r="AQ8" s="390"/>
      <c r="AR8" s="390"/>
      <c r="AS8" s="390"/>
      <c r="AT8" s="39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384"/>
      <c r="C9" s="384"/>
      <c r="D9" s="385"/>
      <c r="E9" s="425"/>
      <c r="F9" s="426"/>
      <c r="G9" s="426"/>
      <c r="H9" s="426"/>
      <c r="I9" s="427"/>
      <c r="J9" s="435"/>
      <c r="K9" s="431"/>
      <c r="L9" s="431"/>
      <c r="M9" s="431"/>
      <c r="N9" s="431"/>
      <c r="O9" s="432"/>
      <c r="P9" s="435"/>
      <c r="Q9" s="431"/>
      <c r="R9" s="431"/>
      <c r="S9" s="431"/>
      <c r="T9" s="431"/>
      <c r="U9" s="432"/>
      <c r="V9" s="435"/>
      <c r="W9" s="431"/>
      <c r="X9" s="431"/>
      <c r="Y9" s="431"/>
      <c r="Z9" s="431"/>
      <c r="AA9" s="432"/>
      <c r="AB9" s="435"/>
      <c r="AC9" s="431"/>
      <c r="AD9" s="431"/>
      <c r="AE9" s="431"/>
      <c r="AF9" s="431"/>
      <c r="AG9" s="432"/>
      <c r="AH9" s="442"/>
      <c r="AI9" s="443"/>
      <c r="AJ9" s="443"/>
      <c r="AK9" s="443"/>
      <c r="AL9" s="443"/>
      <c r="AM9" s="444"/>
      <c r="AN9" s="83"/>
      <c r="AO9" s="389"/>
      <c r="AP9" s="390"/>
      <c r="AQ9" s="390"/>
      <c r="AR9" s="390"/>
      <c r="AS9" s="390"/>
      <c r="AT9" s="39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384"/>
      <c r="C10" s="384"/>
      <c r="D10" s="385"/>
      <c r="E10" s="425"/>
      <c r="F10" s="426"/>
      <c r="G10" s="426"/>
      <c r="H10" s="426"/>
      <c r="I10" s="427"/>
      <c r="J10" s="435" t="e">
        <f>IF(AND('Mapa final'!#REF!="Muy Alta",'Mapa final'!#REF!="Leve"),CONCATENATE("R",'Mapa final'!#REF!),"")</f>
        <v>#REF!</v>
      </c>
      <c r="K10" s="431"/>
      <c r="L10" s="431" t="str">
        <f>IF(AND('Mapa final'!$H$29="Muy Alta",'Mapa final'!$L$29="Leve"),CONCATENATE("R",'Mapa final'!$A$29),"")</f>
        <v/>
      </c>
      <c r="M10" s="431"/>
      <c r="N10" s="431" t="str">
        <f>IF(AND('Mapa final'!$H$30="Muy Alta",'Mapa final'!$L$30="Leve"),CONCATENATE("R",'Mapa final'!$A$30),"")</f>
        <v/>
      </c>
      <c r="O10" s="432"/>
      <c r="P10" s="435" t="e">
        <f>IF(AND('Mapa final'!#REF!="Muy Alta",'Mapa final'!#REF!="Menor"),CONCATENATE("R",'Mapa final'!#REF!),"")</f>
        <v>#REF!</v>
      </c>
      <c r="Q10" s="431"/>
      <c r="R10" s="431" t="str">
        <f>IF(AND('Mapa final'!$H$29="Muy Alta",'Mapa final'!$L$29="Menor"),CONCATENATE("R",'Mapa final'!$A$29),"")</f>
        <v/>
      </c>
      <c r="S10" s="431"/>
      <c r="T10" s="431" t="str">
        <f>IF(AND('Mapa final'!$H$30="Muy Alta",'Mapa final'!$L$30="Menor"),CONCATENATE("R",'Mapa final'!$A$30),"")</f>
        <v/>
      </c>
      <c r="U10" s="432"/>
      <c r="V10" s="435" t="e">
        <f>IF(AND('Mapa final'!#REF!="Muy Alta",'Mapa final'!#REF!="Moderado"),CONCATENATE("R",'Mapa final'!#REF!),"")</f>
        <v>#REF!</v>
      </c>
      <c r="W10" s="431"/>
      <c r="X10" s="431" t="str">
        <f>IF(AND('Mapa final'!$H$29="Muy Alta",'Mapa final'!$L$29="Moderado"),CONCATENATE("R",'Mapa final'!$A$29),"")</f>
        <v/>
      </c>
      <c r="Y10" s="431"/>
      <c r="Z10" s="431" t="str">
        <f>IF(AND('Mapa final'!$H$30="Muy Alta",'Mapa final'!$L$30="Moderado"),CONCATENATE("R",'Mapa final'!$A$30),"")</f>
        <v/>
      </c>
      <c r="AA10" s="432"/>
      <c r="AB10" s="435" t="e">
        <f>IF(AND('Mapa final'!#REF!="Muy Alta",'Mapa final'!#REF!="Mayor"),CONCATENATE("R",'Mapa final'!#REF!),"")</f>
        <v>#REF!</v>
      </c>
      <c r="AC10" s="431"/>
      <c r="AD10" s="431" t="str">
        <f>IF(AND('Mapa final'!$H$29="Muy Alta",'Mapa final'!$L$29="Mayor"),CONCATENATE("R",'Mapa final'!$A$29),"")</f>
        <v/>
      </c>
      <c r="AE10" s="431"/>
      <c r="AF10" s="431" t="str">
        <f>IF(AND('Mapa final'!$H$30="Muy Alta",'Mapa final'!$L$30="Mayor"),CONCATENATE("R",'Mapa final'!$A$30),"")</f>
        <v/>
      </c>
      <c r="AG10" s="432"/>
      <c r="AH10" s="442" t="e">
        <f>IF(AND('Mapa final'!#REF!="Muy Alta",'Mapa final'!#REF!="Catastrófico"),CONCATENATE("R",'Mapa final'!#REF!),"")</f>
        <v>#REF!</v>
      </c>
      <c r="AI10" s="443"/>
      <c r="AJ10" s="443" t="str">
        <f>IF(AND('Mapa final'!$H$29="Muy Alta",'Mapa final'!$L$29="Catastrófico"),CONCATENATE("R",'Mapa final'!$A$29),"")</f>
        <v/>
      </c>
      <c r="AK10" s="443"/>
      <c r="AL10" s="443" t="str">
        <f>IF(AND('Mapa final'!$H$30="Muy Alta",'Mapa final'!$L$30="Catastrófico"),CONCATENATE("R",'Mapa final'!$A$30),"")</f>
        <v/>
      </c>
      <c r="AM10" s="444"/>
      <c r="AN10" s="83"/>
      <c r="AO10" s="389"/>
      <c r="AP10" s="390"/>
      <c r="AQ10" s="390"/>
      <c r="AR10" s="390"/>
      <c r="AS10" s="390"/>
      <c r="AT10" s="39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384"/>
      <c r="C11" s="384"/>
      <c r="D11" s="385"/>
      <c r="E11" s="425"/>
      <c r="F11" s="426"/>
      <c r="G11" s="426"/>
      <c r="H11" s="426"/>
      <c r="I11" s="427"/>
      <c r="J11" s="435"/>
      <c r="K11" s="431"/>
      <c r="L11" s="431"/>
      <c r="M11" s="431"/>
      <c r="N11" s="431"/>
      <c r="O11" s="432"/>
      <c r="P11" s="435"/>
      <c r="Q11" s="431"/>
      <c r="R11" s="431"/>
      <c r="S11" s="431"/>
      <c r="T11" s="431"/>
      <c r="U11" s="432"/>
      <c r="V11" s="435"/>
      <c r="W11" s="431"/>
      <c r="X11" s="431"/>
      <c r="Y11" s="431"/>
      <c r="Z11" s="431"/>
      <c r="AA11" s="432"/>
      <c r="AB11" s="435"/>
      <c r="AC11" s="431"/>
      <c r="AD11" s="431"/>
      <c r="AE11" s="431"/>
      <c r="AF11" s="431"/>
      <c r="AG11" s="432"/>
      <c r="AH11" s="442"/>
      <c r="AI11" s="443"/>
      <c r="AJ11" s="443"/>
      <c r="AK11" s="443"/>
      <c r="AL11" s="443"/>
      <c r="AM11" s="444"/>
      <c r="AN11" s="83"/>
      <c r="AO11" s="389"/>
      <c r="AP11" s="390"/>
      <c r="AQ11" s="390"/>
      <c r="AR11" s="390"/>
      <c r="AS11" s="390"/>
      <c r="AT11" s="39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384"/>
      <c r="C12" s="384"/>
      <c r="D12" s="385"/>
      <c r="E12" s="425"/>
      <c r="F12" s="426"/>
      <c r="G12" s="426"/>
      <c r="H12" s="426"/>
      <c r="I12" s="427"/>
      <c r="J12" s="435" t="str">
        <f>IF(AND('Mapa final'!$H$36="Muy Alta",'Mapa final'!$L$36="Leve"),CONCATENATE("R",'Mapa final'!$A$36),"")</f>
        <v/>
      </c>
      <c r="K12" s="431"/>
      <c r="L12" s="431" t="str">
        <f>IF(AND('Mapa final'!$H$42="Muy Alta",'Mapa final'!$L$42="Leve"),CONCATENATE("R",'Mapa final'!$A$42),"")</f>
        <v/>
      </c>
      <c r="M12" s="431"/>
      <c r="N12" s="431" t="str">
        <f>IF(AND('Mapa final'!$H$48="Muy Alta",'Mapa final'!$L$48="Leve"),CONCATENATE("R",'Mapa final'!$A$48),"")</f>
        <v/>
      </c>
      <c r="O12" s="432"/>
      <c r="P12" s="435" t="str">
        <f>IF(AND('Mapa final'!$H$36="Muy Alta",'Mapa final'!$L$36="Menor"),CONCATENATE("R",'Mapa final'!$A$36),"")</f>
        <v/>
      </c>
      <c r="Q12" s="431"/>
      <c r="R12" s="431" t="str">
        <f>IF(AND('Mapa final'!$H$42="Muy Alta",'Mapa final'!$L$42="Menor"),CONCATENATE("R",'Mapa final'!$A$42),"")</f>
        <v/>
      </c>
      <c r="S12" s="431"/>
      <c r="T12" s="431" t="str">
        <f>IF(AND('Mapa final'!$H$48="Muy Alta",'Mapa final'!$L$48="Menor"),CONCATENATE("R",'Mapa final'!$A$48),"")</f>
        <v/>
      </c>
      <c r="U12" s="432"/>
      <c r="V12" s="435" t="str">
        <f>IF(AND('Mapa final'!$H$36="Muy Alta",'Mapa final'!$L$36="Moderado"),CONCATENATE("R",'Mapa final'!$A$36),"")</f>
        <v/>
      </c>
      <c r="W12" s="431"/>
      <c r="X12" s="431" t="str">
        <f>IF(AND('Mapa final'!$H$42="Muy Alta",'Mapa final'!$L$42="Moderado"),CONCATENATE("R",'Mapa final'!$A$42),"")</f>
        <v/>
      </c>
      <c r="Y12" s="431"/>
      <c r="Z12" s="431" t="str">
        <f>IF(AND('Mapa final'!$H$48="Muy Alta",'Mapa final'!$L$48="Moderado"),CONCATENATE("R",'Mapa final'!$A$48),"")</f>
        <v/>
      </c>
      <c r="AA12" s="432"/>
      <c r="AB12" s="435" t="str">
        <f>IF(AND('Mapa final'!$H$36="Muy Alta",'Mapa final'!$L$36="Mayor"),CONCATENATE("R",'Mapa final'!$A$36),"")</f>
        <v/>
      </c>
      <c r="AC12" s="431"/>
      <c r="AD12" s="431" t="str">
        <f>IF(AND('Mapa final'!$H$42="Muy Alta",'Mapa final'!$L$42="Mayor"),CONCATENATE("R",'Mapa final'!$A$42),"")</f>
        <v/>
      </c>
      <c r="AE12" s="431"/>
      <c r="AF12" s="431" t="str">
        <f>IF(AND('Mapa final'!$H$48="Muy Alta",'Mapa final'!$L$48="Mayor"),CONCATENATE("R",'Mapa final'!$A$48),"")</f>
        <v/>
      </c>
      <c r="AG12" s="432"/>
      <c r="AH12" s="442" t="str">
        <f>IF(AND('Mapa final'!$H$36="Muy Alta",'Mapa final'!$L$36="Catastrófico"),CONCATENATE("R",'Mapa final'!$A$36),"")</f>
        <v/>
      </c>
      <c r="AI12" s="443"/>
      <c r="AJ12" s="443" t="str">
        <f>IF(AND('Mapa final'!$H$42="Muy Alta",'Mapa final'!$L$42="Catastrófico"),CONCATENATE("R",'Mapa final'!$A$42),"")</f>
        <v/>
      </c>
      <c r="AK12" s="443"/>
      <c r="AL12" s="443" t="str">
        <f>IF(AND('Mapa final'!$H$48="Muy Alta",'Mapa final'!$L$48="Catastrófico"),CONCATENATE("R",'Mapa final'!$A$48),"")</f>
        <v/>
      </c>
      <c r="AM12" s="444"/>
      <c r="AN12" s="83"/>
      <c r="AO12" s="389"/>
      <c r="AP12" s="390"/>
      <c r="AQ12" s="390"/>
      <c r="AR12" s="390"/>
      <c r="AS12" s="390"/>
      <c r="AT12" s="39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384"/>
      <c r="C13" s="384"/>
      <c r="D13" s="385"/>
      <c r="E13" s="428"/>
      <c r="F13" s="429"/>
      <c r="G13" s="429"/>
      <c r="H13" s="429"/>
      <c r="I13" s="430"/>
      <c r="J13" s="435"/>
      <c r="K13" s="431"/>
      <c r="L13" s="431"/>
      <c r="M13" s="431"/>
      <c r="N13" s="431"/>
      <c r="O13" s="432"/>
      <c r="P13" s="435"/>
      <c r="Q13" s="431"/>
      <c r="R13" s="431"/>
      <c r="S13" s="431"/>
      <c r="T13" s="431"/>
      <c r="U13" s="432"/>
      <c r="V13" s="435"/>
      <c r="W13" s="431"/>
      <c r="X13" s="431"/>
      <c r="Y13" s="431"/>
      <c r="Z13" s="431"/>
      <c r="AA13" s="432"/>
      <c r="AB13" s="435"/>
      <c r="AC13" s="431"/>
      <c r="AD13" s="431"/>
      <c r="AE13" s="431"/>
      <c r="AF13" s="431"/>
      <c r="AG13" s="432"/>
      <c r="AH13" s="445"/>
      <c r="AI13" s="446"/>
      <c r="AJ13" s="446"/>
      <c r="AK13" s="446"/>
      <c r="AL13" s="446"/>
      <c r="AM13" s="447"/>
      <c r="AN13" s="83"/>
      <c r="AO13" s="392"/>
      <c r="AP13" s="393"/>
      <c r="AQ13" s="393"/>
      <c r="AR13" s="393"/>
      <c r="AS13" s="393"/>
      <c r="AT13" s="39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384"/>
      <c r="C14" s="384"/>
      <c r="D14" s="385"/>
      <c r="E14" s="422" t="s">
        <v>94</v>
      </c>
      <c r="F14" s="423"/>
      <c r="G14" s="423"/>
      <c r="H14" s="423"/>
      <c r="I14" s="423"/>
      <c r="J14" s="457" t="str">
        <f>IF(AND('Mapa final'!$H$25="Alta",'Mapa final'!$L$25="Leve"),CONCATENATE("R",'Mapa final'!$A$25),"")</f>
        <v/>
      </c>
      <c r="K14" s="458"/>
      <c r="L14" s="458" t="str">
        <f>IF(AND('Mapa final'!$H$26="Alta",'Mapa final'!$L$26="Leve"),CONCATENATE("R",'Mapa final'!$A$26),"")</f>
        <v>R2</v>
      </c>
      <c r="M14" s="458"/>
      <c r="N14" s="458" t="str">
        <f>IF(AND('Mapa final'!$H$28="Alta",'Mapa final'!$L$28="Leve"),CONCATENATE("R",'Mapa final'!$A$28),"")</f>
        <v/>
      </c>
      <c r="O14" s="459"/>
      <c r="P14" s="457" t="str">
        <f>IF(AND('Mapa final'!$H$25="Alta",'Mapa final'!$L$25="Menor"),CONCATENATE("R",'Mapa final'!$A$25),"")</f>
        <v/>
      </c>
      <c r="Q14" s="458"/>
      <c r="R14" s="458" t="str">
        <f>IF(AND('Mapa final'!$H$26="Alta",'Mapa final'!$L$26="Menor"),CONCATENATE("R",'Mapa final'!$A$26),"")</f>
        <v/>
      </c>
      <c r="S14" s="458"/>
      <c r="T14" s="458" t="str">
        <f>IF(AND('Mapa final'!$H$28="Alta",'Mapa final'!$L$28="Menor"),CONCATENATE("R",'Mapa final'!$A$28),"")</f>
        <v/>
      </c>
      <c r="U14" s="459"/>
      <c r="V14" s="433" t="str">
        <f>IF(AND('Mapa final'!$H$25="Alta",'Mapa final'!$L$25="Moderado"),CONCATENATE("R",'Mapa final'!$A$25),"")</f>
        <v/>
      </c>
      <c r="W14" s="434"/>
      <c r="X14" s="434" t="str">
        <f>IF(AND('Mapa final'!$H$26="Alta",'Mapa final'!$L$26="Moderado"),CONCATENATE("R",'Mapa final'!$A$26),"")</f>
        <v/>
      </c>
      <c r="Y14" s="434"/>
      <c r="Z14" s="434" t="str">
        <f>IF(AND('Mapa final'!$H$28="Alta",'Mapa final'!$L$28="Moderado"),CONCATENATE("R",'Mapa final'!$A$28),"")</f>
        <v/>
      </c>
      <c r="AA14" s="436"/>
      <c r="AB14" s="433" t="str">
        <f>IF(AND('Mapa final'!$H$25="Alta",'Mapa final'!$L$25="Mayor"),CONCATENATE("R",'Mapa final'!$A$25),"")</f>
        <v/>
      </c>
      <c r="AC14" s="434"/>
      <c r="AD14" s="434" t="str">
        <f>IF(AND('Mapa final'!$H$26="Alta",'Mapa final'!$L$26="Mayor"),CONCATENATE("R",'Mapa final'!$A$26),"")</f>
        <v/>
      </c>
      <c r="AE14" s="434"/>
      <c r="AF14" s="434" t="str">
        <f>IF(AND('Mapa final'!$H$28="Alta",'Mapa final'!$L$28="Mayor"),CONCATENATE("R",'Mapa final'!$A$28),"")</f>
        <v/>
      </c>
      <c r="AG14" s="436"/>
      <c r="AH14" s="448" t="str">
        <f>IF(AND('Mapa final'!$H$25="Alta",'Mapa final'!$L$25="Catastrófico"),CONCATENATE("R",'Mapa final'!$A$25),"")</f>
        <v/>
      </c>
      <c r="AI14" s="449"/>
      <c r="AJ14" s="449" t="str">
        <f>IF(AND('Mapa final'!$H$26="Alta",'Mapa final'!$L$26="Catastrófico"),CONCATENATE("R",'Mapa final'!$A$26),"")</f>
        <v/>
      </c>
      <c r="AK14" s="449"/>
      <c r="AL14" s="449" t="str">
        <f>IF(AND('Mapa final'!$H$28="Alta",'Mapa final'!$L$28="Catastrófico"),CONCATENATE("R",'Mapa final'!$A$28),"")</f>
        <v/>
      </c>
      <c r="AM14" s="450"/>
      <c r="AN14" s="83"/>
      <c r="AO14" s="395" t="s">
        <v>95</v>
      </c>
      <c r="AP14" s="396"/>
      <c r="AQ14" s="396"/>
      <c r="AR14" s="396"/>
      <c r="AS14" s="396"/>
      <c r="AT14" s="39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384"/>
      <c r="C15" s="384"/>
      <c r="D15" s="385"/>
      <c r="E15" s="425"/>
      <c r="F15" s="426"/>
      <c r="G15" s="426"/>
      <c r="H15" s="426"/>
      <c r="I15" s="426"/>
      <c r="J15" s="451"/>
      <c r="K15" s="452"/>
      <c r="L15" s="452"/>
      <c r="M15" s="452"/>
      <c r="N15" s="452"/>
      <c r="O15" s="453"/>
      <c r="P15" s="451"/>
      <c r="Q15" s="452"/>
      <c r="R15" s="452"/>
      <c r="S15" s="452"/>
      <c r="T15" s="452"/>
      <c r="U15" s="453"/>
      <c r="V15" s="435"/>
      <c r="W15" s="431"/>
      <c r="X15" s="431"/>
      <c r="Y15" s="431"/>
      <c r="Z15" s="431"/>
      <c r="AA15" s="432"/>
      <c r="AB15" s="435"/>
      <c r="AC15" s="431"/>
      <c r="AD15" s="431"/>
      <c r="AE15" s="431"/>
      <c r="AF15" s="431"/>
      <c r="AG15" s="432"/>
      <c r="AH15" s="442"/>
      <c r="AI15" s="443"/>
      <c r="AJ15" s="443"/>
      <c r="AK15" s="443"/>
      <c r="AL15" s="443"/>
      <c r="AM15" s="444"/>
      <c r="AN15" s="83"/>
      <c r="AO15" s="398"/>
      <c r="AP15" s="399"/>
      <c r="AQ15" s="399"/>
      <c r="AR15" s="399"/>
      <c r="AS15" s="399"/>
      <c r="AT15" s="40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384"/>
      <c r="C16" s="384"/>
      <c r="D16" s="385"/>
      <c r="E16" s="425"/>
      <c r="F16" s="426"/>
      <c r="G16" s="426"/>
      <c r="H16" s="426"/>
      <c r="I16" s="426"/>
      <c r="J16" s="451" t="e">
        <f>IF(AND('Mapa final'!#REF!="Alta",'Mapa final'!#REF!="Leve"),CONCATENATE("R",'Mapa final'!#REF!),"")</f>
        <v>#REF!</v>
      </c>
      <c r="K16" s="452"/>
      <c r="L16" s="452" t="e">
        <f>IF(AND('Mapa final'!#REF!="Alta",'Mapa final'!#REF!="Leve"),CONCATENATE("R",'Mapa final'!#REF!),"")</f>
        <v>#REF!</v>
      </c>
      <c r="M16" s="452"/>
      <c r="N16" s="452" t="e">
        <f>IF(AND('Mapa final'!#REF!="Alta",'Mapa final'!#REF!="Leve"),CONCATENATE("R",'Mapa final'!#REF!),"")</f>
        <v>#REF!</v>
      </c>
      <c r="O16" s="453"/>
      <c r="P16" s="451" t="e">
        <f>IF(AND('Mapa final'!#REF!="Alta",'Mapa final'!#REF!="Menor"),CONCATENATE("R",'Mapa final'!#REF!),"")</f>
        <v>#REF!</v>
      </c>
      <c r="Q16" s="452"/>
      <c r="R16" s="452" t="e">
        <f>IF(AND('Mapa final'!#REF!="Alta",'Mapa final'!#REF!="Menor"),CONCATENATE("R",'Mapa final'!#REF!),"")</f>
        <v>#REF!</v>
      </c>
      <c r="S16" s="452"/>
      <c r="T16" s="452" t="e">
        <f>IF(AND('Mapa final'!#REF!="Alta",'Mapa final'!#REF!="Menor"),CONCATENATE("R",'Mapa final'!#REF!),"")</f>
        <v>#REF!</v>
      </c>
      <c r="U16" s="453"/>
      <c r="V16" s="435" t="e">
        <f>IF(AND('Mapa final'!#REF!="Alta",'Mapa final'!#REF!="Moderado"),CONCATENATE("R",'Mapa final'!#REF!),"")</f>
        <v>#REF!</v>
      </c>
      <c r="W16" s="431"/>
      <c r="X16" s="431" t="e">
        <f>IF(AND('Mapa final'!#REF!="Alta",'Mapa final'!#REF!="Moderado"),CONCATENATE("R",'Mapa final'!#REF!),"")</f>
        <v>#REF!</v>
      </c>
      <c r="Y16" s="431"/>
      <c r="Z16" s="431" t="e">
        <f>IF(AND('Mapa final'!#REF!="Alta",'Mapa final'!#REF!="Moderado"),CONCATENATE("R",'Mapa final'!#REF!),"")</f>
        <v>#REF!</v>
      </c>
      <c r="AA16" s="432"/>
      <c r="AB16" s="435" t="e">
        <f>IF(AND('Mapa final'!#REF!="Alta",'Mapa final'!#REF!="Mayor"),CONCATENATE("R",'Mapa final'!#REF!),"")</f>
        <v>#REF!</v>
      </c>
      <c r="AC16" s="431"/>
      <c r="AD16" s="431" t="e">
        <f>IF(AND('Mapa final'!#REF!="Alta",'Mapa final'!#REF!="Mayor"),CONCATENATE("R",'Mapa final'!#REF!),"")</f>
        <v>#REF!</v>
      </c>
      <c r="AE16" s="431"/>
      <c r="AF16" s="431" t="e">
        <f>IF(AND('Mapa final'!#REF!="Alta",'Mapa final'!#REF!="Mayor"),CONCATENATE("R",'Mapa final'!#REF!),"")</f>
        <v>#REF!</v>
      </c>
      <c r="AG16" s="432"/>
      <c r="AH16" s="442" t="e">
        <f>IF(AND('Mapa final'!#REF!="Alta",'Mapa final'!#REF!="Catastrófico"),CONCATENATE("R",'Mapa final'!#REF!),"")</f>
        <v>#REF!</v>
      </c>
      <c r="AI16" s="443"/>
      <c r="AJ16" s="443" t="e">
        <f>IF(AND('Mapa final'!#REF!="Alta",'Mapa final'!#REF!="Catastrófico"),CONCATENATE("R",'Mapa final'!#REF!),"")</f>
        <v>#REF!</v>
      </c>
      <c r="AK16" s="443"/>
      <c r="AL16" s="443" t="e">
        <f>IF(AND('Mapa final'!#REF!="Alta",'Mapa final'!#REF!="Catastrófico"),CONCATENATE("R",'Mapa final'!#REF!),"")</f>
        <v>#REF!</v>
      </c>
      <c r="AM16" s="444"/>
      <c r="AN16" s="83"/>
      <c r="AO16" s="398"/>
      <c r="AP16" s="399"/>
      <c r="AQ16" s="399"/>
      <c r="AR16" s="399"/>
      <c r="AS16" s="399"/>
      <c r="AT16" s="40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384"/>
      <c r="C17" s="384"/>
      <c r="D17" s="385"/>
      <c r="E17" s="425"/>
      <c r="F17" s="426"/>
      <c r="G17" s="426"/>
      <c r="H17" s="426"/>
      <c r="I17" s="426"/>
      <c r="J17" s="451"/>
      <c r="K17" s="452"/>
      <c r="L17" s="452"/>
      <c r="M17" s="452"/>
      <c r="N17" s="452"/>
      <c r="O17" s="453"/>
      <c r="P17" s="451"/>
      <c r="Q17" s="452"/>
      <c r="R17" s="452"/>
      <c r="S17" s="452"/>
      <c r="T17" s="452"/>
      <c r="U17" s="453"/>
      <c r="V17" s="435"/>
      <c r="W17" s="431"/>
      <c r="X17" s="431"/>
      <c r="Y17" s="431"/>
      <c r="Z17" s="431"/>
      <c r="AA17" s="432"/>
      <c r="AB17" s="435"/>
      <c r="AC17" s="431"/>
      <c r="AD17" s="431"/>
      <c r="AE17" s="431"/>
      <c r="AF17" s="431"/>
      <c r="AG17" s="432"/>
      <c r="AH17" s="442"/>
      <c r="AI17" s="443"/>
      <c r="AJ17" s="443"/>
      <c r="AK17" s="443"/>
      <c r="AL17" s="443"/>
      <c r="AM17" s="444"/>
      <c r="AN17" s="83"/>
      <c r="AO17" s="398"/>
      <c r="AP17" s="399"/>
      <c r="AQ17" s="399"/>
      <c r="AR17" s="399"/>
      <c r="AS17" s="399"/>
      <c r="AT17" s="40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384"/>
      <c r="C18" s="384"/>
      <c r="D18" s="385"/>
      <c r="E18" s="425"/>
      <c r="F18" s="426"/>
      <c r="G18" s="426"/>
      <c r="H18" s="426"/>
      <c r="I18" s="426"/>
      <c r="J18" s="451" t="e">
        <f>IF(AND('Mapa final'!#REF!="Alta",'Mapa final'!#REF!="Leve"),CONCATENATE("R",'Mapa final'!#REF!),"")</f>
        <v>#REF!</v>
      </c>
      <c r="K18" s="452"/>
      <c r="L18" s="452" t="str">
        <f>IF(AND('Mapa final'!$H$29="Alta",'Mapa final'!$L$29="Leve"),CONCATENATE("R",'Mapa final'!$A$29),"")</f>
        <v/>
      </c>
      <c r="M18" s="452"/>
      <c r="N18" s="452" t="str">
        <f>IF(AND('Mapa final'!$H$30="Alta",'Mapa final'!$L$30="Leve"),CONCATENATE("R",'Mapa final'!$A$30),"")</f>
        <v/>
      </c>
      <c r="O18" s="453"/>
      <c r="P18" s="451" t="e">
        <f>IF(AND('Mapa final'!#REF!="Alta",'Mapa final'!#REF!="Menor"),CONCATENATE("R",'Mapa final'!#REF!),"")</f>
        <v>#REF!</v>
      </c>
      <c r="Q18" s="452"/>
      <c r="R18" s="452" t="str">
        <f>IF(AND('Mapa final'!$H$29="Alta",'Mapa final'!$L$29="Menor"),CONCATENATE("R",'Mapa final'!$A$29),"")</f>
        <v/>
      </c>
      <c r="S18" s="452"/>
      <c r="T18" s="452" t="str">
        <f>IF(AND('Mapa final'!$H$30="Alta",'Mapa final'!$L$30="Menor"),CONCATENATE("R",'Mapa final'!$A$30),"")</f>
        <v/>
      </c>
      <c r="U18" s="453"/>
      <c r="V18" s="435" t="e">
        <f>IF(AND('Mapa final'!#REF!="Alta",'Mapa final'!#REF!="Moderado"),CONCATENATE("R",'Mapa final'!#REF!),"")</f>
        <v>#REF!</v>
      </c>
      <c r="W18" s="431"/>
      <c r="X18" s="431" t="str">
        <f>IF(AND('Mapa final'!$H$29="Alta",'Mapa final'!$L$29="Moderado"),CONCATENATE("R",'Mapa final'!$A$29),"")</f>
        <v/>
      </c>
      <c r="Y18" s="431"/>
      <c r="Z18" s="431" t="str">
        <f>IF(AND('Mapa final'!$H$30="Alta",'Mapa final'!$L$30="Moderado"),CONCATENATE("R",'Mapa final'!$A$30),"")</f>
        <v/>
      </c>
      <c r="AA18" s="432"/>
      <c r="AB18" s="435" t="e">
        <f>IF(AND('Mapa final'!#REF!="Alta",'Mapa final'!#REF!="Mayor"),CONCATENATE("R",'Mapa final'!#REF!),"")</f>
        <v>#REF!</v>
      </c>
      <c r="AC18" s="431"/>
      <c r="AD18" s="431" t="str">
        <f>IF(AND('Mapa final'!$H$29="Alta",'Mapa final'!$L$29="Mayor"),CONCATENATE("R",'Mapa final'!$A$29),"")</f>
        <v/>
      </c>
      <c r="AE18" s="431"/>
      <c r="AF18" s="431" t="str">
        <f>IF(AND('Mapa final'!$H$30="Alta",'Mapa final'!$L$30="Mayor"),CONCATENATE("R",'Mapa final'!$A$30),"")</f>
        <v/>
      </c>
      <c r="AG18" s="432"/>
      <c r="AH18" s="442" t="e">
        <f>IF(AND('Mapa final'!#REF!="Alta",'Mapa final'!#REF!="Catastrófico"),CONCATENATE("R",'Mapa final'!#REF!),"")</f>
        <v>#REF!</v>
      </c>
      <c r="AI18" s="443"/>
      <c r="AJ18" s="443" t="str">
        <f>IF(AND('Mapa final'!$H$29="Alta",'Mapa final'!$L$29="Catastrófico"),CONCATENATE("R",'Mapa final'!$A$29),"")</f>
        <v/>
      </c>
      <c r="AK18" s="443"/>
      <c r="AL18" s="443" t="str">
        <f>IF(AND('Mapa final'!$H$30="Alta",'Mapa final'!$L$30="Catastrófico"),CONCATENATE("R",'Mapa final'!$A$30),"")</f>
        <v/>
      </c>
      <c r="AM18" s="444"/>
      <c r="AN18" s="83"/>
      <c r="AO18" s="398"/>
      <c r="AP18" s="399"/>
      <c r="AQ18" s="399"/>
      <c r="AR18" s="399"/>
      <c r="AS18" s="399"/>
      <c r="AT18" s="40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384"/>
      <c r="C19" s="384"/>
      <c r="D19" s="385"/>
      <c r="E19" s="425"/>
      <c r="F19" s="426"/>
      <c r="G19" s="426"/>
      <c r="H19" s="426"/>
      <c r="I19" s="426"/>
      <c r="J19" s="451"/>
      <c r="K19" s="452"/>
      <c r="L19" s="452"/>
      <c r="M19" s="452"/>
      <c r="N19" s="452"/>
      <c r="O19" s="453"/>
      <c r="P19" s="451"/>
      <c r="Q19" s="452"/>
      <c r="R19" s="452"/>
      <c r="S19" s="452"/>
      <c r="T19" s="452"/>
      <c r="U19" s="453"/>
      <c r="V19" s="435"/>
      <c r="W19" s="431"/>
      <c r="X19" s="431"/>
      <c r="Y19" s="431"/>
      <c r="Z19" s="431"/>
      <c r="AA19" s="432"/>
      <c r="AB19" s="435"/>
      <c r="AC19" s="431"/>
      <c r="AD19" s="431"/>
      <c r="AE19" s="431"/>
      <c r="AF19" s="431"/>
      <c r="AG19" s="432"/>
      <c r="AH19" s="442"/>
      <c r="AI19" s="443"/>
      <c r="AJ19" s="443"/>
      <c r="AK19" s="443"/>
      <c r="AL19" s="443"/>
      <c r="AM19" s="444"/>
      <c r="AN19" s="83"/>
      <c r="AO19" s="398"/>
      <c r="AP19" s="399"/>
      <c r="AQ19" s="399"/>
      <c r="AR19" s="399"/>
      <c r="AS19" s="399"/>
      <c r="AT19" s="40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384"/>
      <c r="C20" s="384"/>
      <c r="D20" s="385"/>
      <c r="E20" s="425"/>
      <c r="F20" s="426"/>
      <c r="G20" s="426"/>
      <c r="H20" s="426"/>
      <c r="I20" s="426"/>
      <c r="J20" s="451" t="str">
        <f>IF(AND('Mapa final'!$H$36="Alta",'Mapa final'!$L$36="Leve"),CONCATENATE("R",'Mapa final'!$A$36),"")</f>
        <v/>
      </c>
      <c r="K20" s="452"/>
      <c r="L20" s="452" t="str">
        <f>IF(AND('Mapa final'!$H$42="Alta",'Mapa final'!$L$42="Leve"),CONCATENATE("R",'Mapa final'!$A$42),"")</f>
        <v/>
      </c>
      <c r="M20" s="452"/>
      <c r="N20" s="452" t="str">
        <f>IF(AND('Mapa final'!$H$48="Alta",'Mapa final'!$L$48="Leve"),CONCATENATE("R",'Mapa final'!$A$48),"")</f>
        <v/>
      </c>
      <c r="O20" s="453"/>
      <c r="P20" s="451" t="str">
        <f>IF(AND('Mapa final'!$H$36="Alta",'Mapa final'!$L$36="Menor"),CONCATENATE("R",'Mapa final'!$A$36),"")</f>
        <v/>
      </c>
      <c r="Q20" s="452"/>
      <c r="R20" s="452" t="str">
        <f>IF(AND('Mapa final'!$H$42="Alta",'Mapa final'!$L$42="Menor"),CONCATENATE("R",'Mapa final'!$A$42),"")</f>
        <v/>
      </c>
      <c r="S20" s="452"/>
      <c r="T20" s="452" t="str">
        <f>IF(AND('Mapa final'!$H$48="Alta",'Mapa final'!$L$48="Menor"),CONCATENATE("R",'Mapa final'!$A$48),"")</f>
        <v/>
      </c>
      <c r="U20" s="453"/>
      <c r="V20" s="435" t="str">
        <f>IF(AND('Mapa final'!$H$36="Alta",'Mapa final'!$L$36="Moderado"),CONCATENATE("R",'Mapa final'!$A$36),"")</f>
        <v/>
      </c>
      <c r="W20" s="431"/>
      <c r="X20" s="431" t="str">
        <f>IF(AND('Mapa final'!$H$42="Alta",'Mapa final'!$L$42="Moderado"),CONCATENATE("R",'Mapa final'!$A$42),"")</f>
        <v/>
      </c>
      <c r="Y20" s="431"/>
      <c r="Z20" s="431" t="str">
        <f>IF(AND('Mapa final'!$H$48="Alta",'Mapa final'!$L$48="Moderado"),CONCATENATE("R",'Mapa final'!$A$48),"")</f>
        <v/>
      </c>
      <c r="AA20" s="432"/>
      <c r="AB20" s="435" t="str">
        <f>IF(AND('Mapa final'!$H$36="Alta",'Mapa final'!$L$36="Mayor"),CONCATENATE("R",'Mapa final'!$A$36),"")</f>
        <v/>
      </c>
      <c r="AC20" s="431"/>
      <c r="AD20" s="431" t="str">
        <f>IF(AND('Mapa final'!$H$42="Alta",'Mapa final'!$L$42="Mayor"),CONCATENATE("R",'Mapa final'!$A$42),"")</f>
        <v/>
      </c>
      <c r="AE20" s="431"/>
      <c r="AF20" s="431" t="str">
        <f>IF(AND('Mapa final'!$H$48="Alta",'Mapa final'!$L$48="Mayor"),CONCATENATE("R",'Mapa final'!$A$48),"")</f>
        <v/>
      </c>
      <c r="AG20" s="432"/>
      <c r="AH20" s="442" t="str">
        <f>IF(AND('Mapa final'!$H$36="Alta",'Mapa final'!$L$36="Catastrófico"),CONCATENATE("R",'Mapa final'!$A$36),"")</f>
        <v/>
      </c>
      <c r="AI20" s="443"/>
      <c r="AJ20" s="443" t="str">
        <f>IF(AND('Mapa final'!$H$42="Alta",'Mapa final'!$L$42="Catastrófico"),CONCATENATE("R",'Mapa final'!$A$42),"")</f>
        <v/>
      </c>
      <c r="AK20" s="443"/>
      <c r="AL20" s="443" t="str">
        <f>IF(AND('Mapa final'!$H$48="Alta",'Mapa final'!$L$48="Catastrófico"),CONCATENATE("R",'Mapa final'!$A$48),"")</f>
        <v/>
      </c>
      <c r="AM20" s="444"/>
      <c r="AN20" s="83"/>
      <c r="AO20" s="398"/>
      <c r="AP20" s="399"/>
      <c r="AQ20" s="399"/>
      <c r="AR20" s="399"/>
      <c r="AS20" s="399"/>
      <c r="AT20" s="40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384"/>
      <c r="C21" s="384"/>
      <c r="D21" s="385"/>
      <c r="E21" s="428"/>
      <c r="F21" s="429"/>
      <c r="G21" s="429"/>
      <c r="H21" s="429"/>
      <c r="I21" s="429"/>
      <c r="J21" s="454"/>
      <c r="K21" s="455"/>
      <c r="L21" s="455"/>
      <c r="M21" s="455"/>
      <c r="N21" s="455"/>
      <c r="O21" s="456"/>
      <c r="P21" s="454"/>
      <c r="Q21" s="455"/>
      <c r="R21" s="455"/>
      <c r="S21" s="455"/>
      <c r="T21" s="455"/>
      <c r="U21" s="456"/>
      <c r="V21" s="439"/>
      <c r="W21" s="440"/>
      <c r="X21" s="440"/>
      <c r="Y21" s="440"/>
      <c r="Z21" s="440"/>
      <c r="AA21" s="441"/>
      <c r="AB21" s="439"/>
      <c r="AC21" s="440"/>
      <c r="AD21" s="440"/>
      <c r="AE21" s="440"/>
      <c r="AF21" s="440"/>
      <c r="AG21" s="441"/>
      <c r="AH21" s="445"/>
      <c r="AI21" s="446"/>
      <c r="AJ21" s="446"/>
      <c r="AK21" s="446"/>
      <c r="AL21" s="446"/>
      <c r="AM21" s="447"/>
      <c r="AN21" s="83"/>
      <c r="AO21" s="401"/>
      <c r="AP21" s="402"/>
      <c r="AQ21" s="402"/>
      <c r="AR21" s="402"/>
      <c r="AS21" s="402"/>
      <c r="AT21" s="40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84"/>
      <c r="C22" s="384"/>
      <c r="D22" s="385"/>
      <c r="E22" s="422" t="s">
        <v>96</v>
      </c>
      <c r="F22" s="423"/>
      <c r="G22" s="423"/>
      <c r="H22" s="423"/>
      <c r="I22" s="424"/>
      <c r="J22" s="457" t="str">
        <f>IF(AND('Mapa final'!$H$25="Media",'Mapa final'!$L$25="Leve"),CONCATENATE("R",'Mapa final'!$A$25),"")</f>
        <v/>
      </c>
      <c r="K22" s="458"/>
      <c r="L22" s="458" t="str">
        <f>IF(AND('Mapa final'!$H$26="Media",'Mapa final'!$L$26="Leve"),CONCATENATE("R",'Mapa final'!$A$26),"")</f>
        <v/>
      </c>
      <c r="M22" s="458"/>
      <c r="N22" s="458" t="str">
        <f>IF(AND('Mapa final'!$H$28="Media",'Mapa final'!$L$28="Leve"),CONCATENATE("R",'Mapa final'!$A$28),"")</f>
        <v/>
      </c>
      <c r="O22" s="459"/>
      <c r="P22" s="457" t="str">
        <f>IF(AND('Mapa final'!$H$25="Media",'Mapa final'!$L$25="Menor"),CONCATENATE("R",'Mapa final'!$A$25),"")</f>
        <v/>
      </c>
      <c r="Q22" s="458"/>
      <c r="R22" s="458" t="str">
        <f>IF(AND('Mapa final'!$H$26="Media",'Mapa final'!$L$26="Menor"),CONCATENATE("R",'Mapa final'!$A$26),"")</f>
        <v/>
      </c>
      <c r="S22" s="458"/>
      <c r="T22" s="458" t="str">
        <f>IF(AND('Mapa final'!$H$28="Media",'Mapa final'!$L$28="Menor"),CONCATENATE("R",'Mapa final'!$A$28),"")</f>
        <v/>
      </c>
      <c r="U22" s="459"/>
      <c r="V22" s="457" t="str">
        <f>IF(AND('Mapa final'!$H$25="Media",'Mapa final'!$L$25="Moderado"),CONCATENATE("R",'Mapa final'!$A$25),"")</f>
        <v/>
      </c>
      <c r="W22" s="458"/>
      <c r="X22" s="458" t="str">
        <f>IF(AND('Mapa final'!$H$26="Media",'Mapa final'!$L$26="Moderado"),CONCATENATE("R",'Mapa final'!$A$26),"")</f>
        <v/>
      </c>
      <c r="Y22" s="458"/>
      <c r="Z22" s="458" t="str">
        <f>IF(AND('Mapa final'!$H$28="Media",'Mapa final'!$L$28="Moderado"),CONCATENATE("R",'Mapa final'!$A$28),"")</f>
        <v/>
      </c>
      <c r="AA22" s="459"/>
      <c r="AB22" s="433" t="str">
        <f>IF(AND('Mapa final'!$H$25="Media",'Mapa final'!$L$25="Mayor"),CONCATENATE("R",'Mapa final'!$A$25),"")</f>
        <v/>
      </c>
      <c r="AC22" s="434"/>
      <c r="AD22" s="434" t="str">
        <f>IF(AND('Mapa final'!$H$26="Media",'Mapa final'!$L$26="Mayor"),CONCATENATE("R",'Mapa final'!$A$26),"")</f>
        <v/>
      </c>
      <c r="AE22" s="434"/>
      <c r="AF22" s="434" t="str">
        <f>IF(AND('Mapa final'!$H$28="Media",'Mapa final'!$L$28="Mayor"),CONCATENATE("R",'Mapa final'!$A$28),"")</f>
        <v/>
      </c>
      <c r="AG22" s="436"/>
      <c r="AH22" s="448" t="str">
        <f>IF(AND('Mapa final'!$H$25="Media",'Mapa final'!$L$25="Catastrófico"),CONCATENATE("R",'Mapa final'!$A$25),"")</f>
        <v/>
      </c>
      <c r="AI22" s="449"/>
      <c r="AJ22" s="449" t="str">
        <f>IF(AND('Mapa final'!$H$26="Media",'Mapa final'!$L$26="Catastrófico"),CONCATENATE("R",'Mapa final'!$A$26),"")</f>
        <v/>
      </c>
      <c r="AK22" s="449"/>
      <c r="AL22" s="449" t="str">
        <f>IF(AND('Mapa final'!$H$28="Media",'Mapa final'!$L$28="Catastrófico"),CONCATENATE("R",'Mapa final'!$A$28),"")</f>
        <v/>
      </c>
      <c r="AM22" s="450"/>
      <c r="AN22" s="83"/>
      <c r="AO22" s="404" t="s">
        <v>97</v>
      </c>
      <c r="AP22" s="405"/>
      <c r="AQ22" s="405"/>
      <c r="AR22" s="405"/>
      <c r="AS22" s="405"/>
      <c r="AT22" s="40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84"/>
      <c r="C23" s="384"/>
      <c r="D23" s="385"/>
      <c r="E23" s="425"/>
      <c r="F23" s="426"/>
      <c r="G23" s="426"/>
      <c r="H23" s="426"/>
      <c r="I23" s="427"/>
      <c r="J23" s="451"/>
      <c r="K23" s="452"/>
      <c r="L23" s="452"/>
      <c r="M23" s="452"/>
      <c r="N23" s="452"/>
      <c r="O23" s="453"/>
      <c r="P23" s="451"/>
      <c r="Q23" s="452"/>
      <c r="R23" s="452"/>
      <c r="S23" s="452"/>
      <c r="T23" s="452"/>
      <c r="U23" s="453"/>
      <c r="V23" s="451"/>
      <c r="W23" s="452"/>
      <c r="X23" s="452"/>
      <c r="Y23" s="452"/>
      <c r="Z23" s="452"/>
      <c r="AA23" s="453"/>
      <c r="AB23" s="435"/>
      <c r="AC23" s="431"/>
      <c r="AD23" s="431"/>
      <c r="AE23" s="431"/>
      <c r="AF23" s="431"/>
      <c r="AG23" s="432"/>
      <c r="AH23" s="442"/>
      <c r="AI23" s="443"/>
      <c r="AJ23" s="443"/>
      <c r="AK23" s="443"/>
      <c r="AL23" s="443"/>
      <c r="AM23" s="444"/>
      <c r="AN23" s="83"/>
      <c r="AO23" s="407"/>
      <c r="AP23" s="408"/>
      <c r="AQ23" s="408"/>
      <c r="AR23" s="408"/>
      <c r="AS23" s="408"/>
      <c r="AT23" s="40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84"/>
      <c r="C24" s="384"/>
      <c r="D24" s="385"/>
      <c r="E24" s="425"/>
      <c r="F24" s="426"/>
      <c r="G24" s="426"/>
      <c r="H24" s="426"/>
      <c r="I24" s="427"/>
      <c r="J24" s="451" t="e">
        <f>IF(AND('Mapa final'!#REF!="Media",'Mapa final'!#REF!="Leve"),CONCATENATE("R",'Mapa final'!#REF!),"")</f>
        <v>#REF!</v>
      </c>
      <c r="K24" s="452"/>
      <c r="L24" s="452" t="e">
        <f>IF(AND('Mapa final'!#REF!="Media",'Mapa final'!#REF!="Leve"),CONCATENATE("R",'Mapa final'!#REF!),"")</f>
        <v>#REF!</v>
      </c>
      <c r="M24" s="452"/>
      <c r="N24" s="452" t="e">
        <f>IF(AND('Mapa final'!#REF!="Media",'Mapa final'!#REF!="Leve"),CONCATENATE("R",'Mapa final'!#REF!),"")</f>
        <v>#REF!</v>
      </c>
      <c r="O24" s="453"/>
      <c r="P24" s="451" t="e">
        <f>IF(AND('Mapa final'!#REF!="Media",'Mapa final'!#REF!="Menor"),CONCATENATE("R",'Mapa final'!#REF!),"")</f>
        <v>#REF!</v>
      </c>
      <c r="Q24" s="452"/>
      <c r="R24" s="452" t="e">
        <f>IF(AND('Mapa final'!#REF!="Media",'Mapa final'!#REF!="Menor"),CONCATENATE("R",'Mapa final'!#REF!),"")</f>
        <v>#REF!</v>
      </c>
      <c r="S24" s="452"/>
      <c r="T24" s="452" t="e">
        <f>IF(AND('Mapa final'!#REF!="Media",'Mapa final'!#REF!="Menor"),CONCATENATE("R",'Mapa final'!#REF!),"")</f>
        <v>#REF!</v>
      </c>
      <c r="U24" s="453"/>
      <c r="V24" s="451" t="e">
        <f>IF(AND('Mapa final'!#REF!="Media",'Mapa final'!#REF!="Moderado"),CONCATENATE("R",'Mapa final'!#REF!),"")</f>
        <v>#REF!</v>
      </c>
      <c r="W24" s="452"/>
      <c r="X24" s="452" t="e">
        <f>IF(AND('Mapa final'!#REF!="Media",'Mapa final'!#REF!="Moderado"),CONCATENATE("R",'Mapa final'!#REF!),"")</f>
        <v>#REF!</v>
      </c>
      <c r="Y24" s="452"/>
      <c r="Z24" s="452" t="e">
        <f>IF(AND('Mapa final'!#REF!="Media",'Mapa final'!#REF!="Moderado"),CONCATENATE("R",'Mapa final'!#REF!),"")</f>
        <v>#REF!</v>
      </c>
      <c r="AA24" s="453"/>
      <c r="AB24" s="435" t="e">
        <f>IF(AND('Mapa final'!#REF!="Media",'Mapa final'!#REF!="Mayor"),CONCATENATE("R",'Mapa final'!#REF!),"")</f>
        <v>#REF!</v>
      </c>
      <c r="AC24" s="431"/>
      <c r="AD24" s="431" t="e">
        <f>IF(AND('Mapa final'!#REF!="Media",'Mapa final'!#REF!="Mayor"),CONCATENATE("R",'Mapa final'!#REF!),"")</f>
        <v>#REF!</v>
      </c>
      <c r="AE24" s="431"/>
      <c r="AF24" s="431" t="e">
        <f>IF(AND('Mapa final'!#REF!="Media",'Mapa final'!#REF!="Mayor"),CONCATENATE("R",'Mapa final'!#REF!),"")</f>
        <v>#REF!</v>
      </c>
      <c r="AG24" s="432"/>
      <c r="AH24" s="442" t="e">
        <f>IF(AND('Mapa final'!#REF!="Media",'Mapa final'!#REF!="Catastrófico"),CONCATENATE("R",'Mapa final'!#REF!),"")</f>
        <v>#REF!</v>
      </c>
      <c r="AI24" s="443"/>
      <c r="AJ24" s="443" t="e">
        <f>IF(AND('Mapa final'!#REF!="Media",'Mapa final'!#REF!="Catastrófico"),CONCATENATE("R",'Mapa final'!#REF!),"")</f>
        <v>#REF!</v>
      </c>
      <c r="AK24" s="443"/>
      <c r="AL24" s="443" t="e">
        <f>IF(AND('Mapa final'!#REF!="Media",'Mapa final'!#REF!="Catastrófico"),CONCATENATE("R",'Mapa final'!#REF!),"")</f>
        <v>#REF!</v>
      </c>
      <c r="AM24" s="444"/>
      <c r="AN24" s="83"/>
      <c r="AO24" s="407"/>
      <c r="AP24" s="408"/>
      <c r="AQ24" s="408"/>
      <c r="AR24" s="408"/>
      <c r="AS24" s="408"/>
      <c r="AT24" s="40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84"/>
      <c r="C25" s="384"/>
      <c r="D25" s="385"/>
      <c r="E25" s="425"/>
      <c r="F25" s="426"/>
      <c r="G25" s="426"/>
      <c r="H25" s="426"/>
      <c r="I25" s="427"/>
      <c r="J25" s="451"/>
      <c r="K25" s="452"/>
      <c r="L25" s="452"/>
      <c r="M25" s="452"/>
      <c r="N25" s="452"/>
      <c r="O25" s="453"/>
      <c r="P25" s="451"/>
      <c r="Q25" s="452"/>
      <c r="R25" s="452"/>
      <c r="S25" s="452"/>
      <c r="T25" s="452"/>
      <c r="U25" s="453"/>
      <c r="V25" s="451"/>
      <c r="W25" s="452"/>
      <c r="X25" s="452"/>
      <c r="Y25" s="452"/>
      <c r="Z25" s="452"/>
      <c r="AA25" s="453"/>
      <c r="AB25" s="435"/>
      <c r="AC25" s="431"/>
      <c r="AD25" s="431"/>
      <c r="AE25" s="431"/>
      <c r="AF25" s="431"/>
      <c r="AG25" s="432"/>
      <c r="AH25" s="442"/>
      <c r="AI25" s="443"/>
      <c r="AJ25" s="443"/>
      <c r="AK25" s="443"/>
      <c r="AL25" s="443"/>
      <c r="AM25" s="444"/>
      <c r="AN25" s="83"/>
      <c r="AO25" s="407"/>
      <c r="AP25" s="408"/>
      <c r="AQ25" s="408"/>
      <c r="AR25" s="408"/>
      <c r="AS25" s="408"/>
      <c r="AT25" s="40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84"/>
      <c r="C26" s="384"/>
      <c r="D26" s="385"/>
      <c r="E26" s="425"/>
      <c r="F26" s="426"/>
      <c r="G26" s="426"/>
      <c r="H26" s="426"/>
      <c r="I26" s="427"/>
      <c r="J26" s="451" t="e">
        <f>IF(AND('Mapa final'!#REF!="Media",'Mapa final'!#REF!="Leve"),CONCATENATE("R",'Mapa final'!#REF!),"")</f>
        <v>#REF!</v>
      </c>
      <c r="K26" s="452"/>
      <c r="L26" s="452" t="str">
        <f>IF(AND('Mapa final'!$H$29="Media",'Mapa final'!$L$29="Leve"),CONCATENATE("R",'Mapa final'!$A$29),"")</f>
        <v/>
      </c>
      <c r="M26" s="452"/>
      <c r="N26" s="452" t="str">
        <f>IF(AND('Mapa final'!$H$30="Media",'Mapa final'!$L$30="Leve"),CONCATENATE("R",'Mapa final'!$A$30),"")</f>
        <v/>
      </c>
      <c r="O26" s="453"/>
      <c r="P26" s="451" t="e">
        <f>IF(AND('Mapa final'!#REF!="Media",'Mapa final'!#REF!="Menor"),CONCATENATE("R",'Mapa final'!#REF!),"")</f>
        <v>#REF!</v>
      </c>
      <c r="Q26" s="452"/>
      <c r="R26" s="452" t="str">
        <f>IF(AND('Mapa final'!$H$29="Media",'Mapa final'!$L$29="Menor"),CONCATENATE("R",'Mapa final'!$A$29),"")</f>
        <v/>
      </c>
      <c r="S26" s="452"/>
      <c r="T26" s="452" t="str">
        <f>IF(AND('Mapa final'!$H$30="Media",'Mapa final'!$L$30="Menor"),CONCATENATE("R",'Mapa final'!$A$30),"")</f>
        <v/>
      </c>
      <c r="U26" s="453"/>
      <c r="V26" s="451" t="e">
        <f>IF(AND('Mapa final'!#REF!="Media",'Mapa final'!#REF!="Moderado"),CONCATENATE("R",'Mapa final'!#REF!),"")</f>
        <v>#REF!</v>
      </c>
      <c r="W26" s="452"/>
      <c r="X26" s="452" t="str">
        <f>IF(AND('Mapa final'!$H$29="Media",'Mapa final'!$L$29="Moderado"),CONCATENATE("R",'Mapa final'!$A$29),"")</f>
        <v>R4</v>
      </c>
      <c r="Y26" s="452"/>
      <c r="Z26" s="452" t="str">
        <f>IF(AND('Mapa final'!$H$30="Media",'Mapa final'!$L$30="Moderado"),CONCATENATE("R",'Mapa final'!$A$30),"")</f>
        <v/>
      </c>
      <c r="AA26" s="453"/>
      <c r="AB26" s="435" t="e">
        <f>IF(AND('Mapa final'!#REF!="Media",'Mapa final'!#REF!="Mayor"),CONCATENATE("R",'Mapa final'!#REF!),"")</f>
        <v>#REF!</v>
      </c>
      <c r="AC26" s="431"/>
      <c r="AD26" s="431" t="str">
        <f>IF(AND('Mapa final'!$H$29="Media",'Mapa final'!$L$29="Mayor"),CONCATENATE("R",'Mapa final'!$A$29),"")</f>
        <v/>
      </c>
      <c r="AE26" s="431"/>
      <c r="AF26" s="431" t="str">
        <f>IF(AND('Mapa final'!$H$30="Media",'Mapa final'!$L$30="Mayor"),CONCATENATE("R",'Mapa final'!$A$30),"")</f>
        <v/>
      </c>
      <c r="AG26" s="432"/>
      <c r="AH26" s="442" t="e">
        <f>IF(AND('Mapa final'!#REF!="Media",'Mapa final'!#REF!="Catastrófico"),CONCATENATE("R",'Mapa final'!#REF!),"")</f>
        <v>#REF!</v>
      </c>
      <c r="AI26" s="443"/>
      <c r="AJ26" s="443" t="str">
        <f>IF(AND('Mapa final'!$H$29="Media",'Mapa final'!$L$29="Catastrófico"),CONCATENATE("R",'Mapa final'!$A$29),"")</f>
        <v/>
      </c>
      <c r="AK26" s="443"/>
      <c r="AL26" s="443" t="str">
        <f>IF(AND('Mapa final'!$H$30="Media",'Mapa final'!$L$30="Catastrófico"),CONCATENATE("R",'Mapa final'!$A$30),"")</f>
        <v/>
      </c>
      <c r="AM26" s="444"/>
      <c r="AN26" s="83"/>
      <c r="AO26" s="407"/>
      <c r="AP26" s="408"/>
      <c r="AQ26" s="408"/>
      <c r="AR26" s="408"/>
      <c r="AS26" s="408"/>
      <c r="AT26" s="40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84"/>
      <c r="C27" s="384"/>
      <c r="D27" s="385"/>
      <c r="E27" s="425"/>
      <c r="F27" s="426"/>
      <c r="G27" s="426"/>
      <c r="H27" s="426"/>
      <c r="I27" s="427"/>
      <c r="J27" s="451"/>
      <c r="K27" s="452"/>
      <c r="L27" s="452"/>
      <c r="M27" s="452"/>
      <c r="N27" s="452"/>
      <c r="O27" s="453"/>
      <c r="P27" s="451"/>
      <c r="Q27" s="452"/>
      <c r="R27" s="452"/>
      <c r="S27" s="452"/>
      <c r="T27" s="452"/>
      <c r="U27" s="453"/>
      <c r="V27" s="451"/>
      <c r="W27" s="452"/>
      <c r="X27" s="452"/>
      <c r="Y27" s="452"/>
      <c r="Z27" s="452"/>
      <c r="AA27" s="453"/>
      <c r="AB27" s="435"/>
      <c r="AC27" s="431"/>
      <c r="AD27" s="431"/>
      <c r="AE27" s="431"/>
      <c r="AF27" s="431"/>
      <c r="AG27" s="432"/>
      <c r="AH27" s="442"/>
      <c r="AI27" s="443"/>
      <c r="AJ27" s="443"/>
      <c r="AK27" s="443"/>
      <c r="AL27" s="443"/>
      <c r="AM27" s="444"/>
      <c r="AN27" s="83"/>
      <c r="AO27" s="407"/>
      <c r="AP27" s="408"/>
      <c r="AQ27" s="408"/>
      <c r="AR27" s="408"/>
      <c r="AS27" s="408"/>
      <c r="AT27" s="40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84"/>
      <c r="C28" s="384"/>
      <c r="D28" s="385"/>
      <c r="E28" s="425"/>
      <c r="F28" s="426"/>
      <c r="G28" s="426"/>
      <c r="H28" s="426"/>
      <c r="I28" s="427"/>
      <c r="J28" s="451" t="str">
        <f>IF(AND('Mapa final'!$H$36="Media",'Mapa final'!$L$36="Leve"),CONCATENATE("R",'Mapa final'!$A$36),"")</f>
        <v/>
      </c>
      <c r="K28" s="452"/>
      <c r="L28" s="452" t="str">
        <f>IF(AND('Mapa final'!$H$42="Media",'Mapa final'!$L$42="Leve"),CONCATENATE("R",'Mapa final'!$A$42),"")</f>
        <v/>
      </c>
      <c r="M28" s="452"/>
      <c r="N28" s="452" t="str">
        <f>IF(AND('Mapa final'!$H$48="Media",'Mapa final'!$L$48="Leve"),CONCATENATE("R",'Mapa final'!$A$48),"")</f>
        <v/>
      </c>
      <c r="O28" s="453"/>
      <c r="P28" s="451" t="str">
        <f>IF(AND('Mapa final'!$H$36="Media",'Mapa final'!$L$36="Menor"),CONCATENATE("R",'Mapa final'!$A$36),"")</f>
        <v/>
      </c>
      <c r="Q28" s="452"/>
      <c r="R28" s="452" t="str">
        <f>IF(AND('Mapa final'!$H$42="Media",'Mapa final'!$L$42="Menor"),CONCATENATE("R",'Mapa final'!$A$42),"")</f>
        <v/>
      </c>
      <c r="S28" s="452"/>
      <c r="T28" s="452" t="str">
        <f>IF(AND('Mapa final'!$H$48="Media",'Mapa final'!$L$48="Menor"),CONCATENATE("R",'Mapa final'!$A$48),"")</f>
        <v/>
      </c>
      <c r="U28" s="453"/>
      <c r="V28" s="451" t="str">
        <f>IF(AND('Mapa final'!$H$36="Media",'Mapa final'!$L$36="Moderado"),CONCATENATE("R",'Mapa final'!$A$36),"")</f>
        <v/>
      </c>
      <c r="W28" s="452"/>
      <c r="X28" s="452" t="str">
        <f>IF(AND('Mapa final'!$H$42="Media",'Mapa final'!$L$42="Moderado"),CONCATENATE("R",'Mapa final'!$A$42),"")</f>
        <v/>
      </c>
      <c r="Y28" s="452"/>
      <c r="Z28" s="452" t="str">
        <f>IF(AND('Mapa final'!$H$48="Media",'Mapa final'!$L$48="Moderado"),CONCATENATE("R",'Mapa final'!$A$48),"")</f>
        <v/>
      </c>
      <c r="AA28" s="453"/>
      <c r="AB28" s="435" t="str">
        <f>IF(AND('Mapa final'!$H$36="Media",'Mapa final'!$L$36="Mayor"),CONCATENATE("R",'Mapa final'!$A$36),"")</f>
        <v/>
      </c>
      <c r="AC28" s="431"/>
      <c r="AD28" s="431" t="str">
        <f>IF(AND('Mapa final'!$H$42="Media",'Mapa final'!$L$42="Mayor"),CONCATENATE("R",'Mapa final'!$A$42),"")</f>
        <v/>
      </c>
      <c r="AE28" s="431"/>
      <c r="AF28" s="431" t="str">
        <f>IF(AND('Mapa final'!$H$48="Media",'Mapa final'!$L$48="Mayor"),CONCATENATE("R",'Mapa final'!$A$48),"")</f>
        <v/>
      </c>
      <c r="AG28" s="432"/>
      <c r="AH28" s="442" t="str">
        <f>IF(AND('Mapa final'!$H$36="Media",'Mapa final'!$L$36="Catastrófico"),CONCATENATE("R",'Mapa final'!$A$36),"")</f>
        <v/>
      </c>
      <c r="AI28" s="443"/>
      <c r="AJ28" s="443" t="str">
        <f>IF(AND('Mapa final'!$H$42="Media",'Mapa final'!$L$42="Catastrófico"),CONCATENATE("R",'Mapa final'!$A$42),"")</f>
        <v/>
      </c>
      <c r="AK28" s="443"/>
      <c r="AL28" s="443" t="str">
        <f>IF(AND('Mapa final'!$H$48="Media",'Mapa final'!$L$48="Catastrófico"),CONCATENATE("R",'Mapa final'!$A$48),"")</f>
        <v/>
      </c>
      <c r="AM28" s="444"/>
      <c r="AN28" s="83"/>
      <c r="AO28" s="407"/>
      <c r="AP28" s="408"/>
      <c r="AQ28" s="408"/>
      <c r="AR28" s="408"/>
      <c r="AS28" s="408"/>
      <c r="AT28" s="40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384"/>
      <c r="C29" s="384"/>
      <c r="D29" s="385"/>
      <c r="E29" s="428"/>
      <c r="F29" s="429"/>
      <c r="G29" s="429"/>
      <c r="H29" s="429"/>
      <c r="I29" s="430"/>
      <c r="J29" s="451"/>
      <c r="K29" s="452"/>
      <c r="L29" s="452"/>
      <c r="M29" s="452"/>
      <c r="N29" s="452"/>
      <c r="O29" s="453"/>
      <c r="P29" s="454"/>
      <c r="Q29" s="455"/>
      <c r="R29" s="455"/>
      <c r="S29" s="455"/>
      <c r="T29" s="455"/>
      <c r="U29" s="456"/>
      <c r="V29" s="454"/>
      <c r="W29" s="455"/>
      <c r="X29" s="455"/>
      <c r="Y29" s="455"/>
      <c r="Z29" s="455"/>
      <c r="AA29" s="456"/>
      <c r="AB29" s="439"/>
      <c r="AC29" s="440"/>
      <c r="AD29" s="440"/>
      <c r="AE29" s="440"/>
      <c r="AF29" s="440"/>
      <c r="AG29" s="441"/>
      <c r="AH29" s="445"/>
      <c r="AI29" s="446"/>
      <c r="AJ29" s="446"/>
      <c r="AK29" s="446"/>
      <c r="AL29" s="446"/>
      <c r="AM29" s="447"/>
      <c r="AN29" s="83"/>
      <c r="AO29" s="410"/>
      <c r="AP29" s="411"/>
      <c r="AQ29" s="411"/>
      <c r="AR29" s="411"/>
      <c r="AS29" s="411"/>
      <c r="AT29" s="41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84"/>
      <c r="C30" s="384"/>
      <c r="D30" s="385"/>
      <c r="E30" s="422" t="s">
        <v>98</v>
      </c>
      <c r="F30" s="423"/>
      <c r="G30" s="423"/>
      <c r="H30" s="423"/>
      <c r="I30" s="423"/>
      <c r="J30" s="466" t="str">
        <f>IF(AND('Mapa final'!$H$25="Baja",'Mapa final'!$L$25="Leve"),CONCATENATE("R",'Mapa final'!$A$25),"")</f>
        <v>R1</v>
      </c>
      <c r="K30" s="467"/>
      <c r="L30" s="467" t="str">
        <f>IF(AND('Mapa final'!$H$26="Baja",'Mapa final'!$L$26="Leve"),CONCATENATE("R",'Mapa final'!$A$26),"")</f>
        <v/>
      </c>
      <c r="M30" s="467"/>
      <c r="N30" s="467" t="str">
        <f>IF(AND('Mapa final'!$H$28="Baja",'Mapa final'!$L$28="Leve"),CONCATENATE("R",'Mapa final'!$A$28),"")</f>
        <v>R3</v>
      </c>
      <c r="O30" s="468"/>
      <c r="P30" s="458" t="str">
        <f>IF(AND('Mapa final'!$H$25="Baja",'Mapa final'!$L$25="Menor"),CONCATENATE("R",'Mapa final'!$A$25),"")</f>
        <v/>
      </c>
      <c r="Q30" s="458"/>
      <c r="R30" s="458" t="str">
        <f>IF(AND('Mapa final'!$H$26="Baja",'Mapa final'!$L$26="Menor"),CONCATENATE("R",'Mapa final'!$A$26),"")</f>
        <v/>
      </c>
      <c r="S30" s="458"/>
      <c r="T30" s="458" t="str">
        <f>IF(AND('Mapa final'!$H$28="Baja",'Mapa final'!$L$28="Menor"),CONCATENATE("R",'Mapa final'!$A$28),"")</f>
        <v/>
      </c>
      <c r="U30" s="459"/>
      <c r="V30" s="457" t="str">
        <f>IF(AND('Mapa final'!$H$25="Baja",'Mapa final'!$L$25="Moderado"),CONCATENATE("R",'Mapa final'!$A$25),"")</f>
        <v/>
      </c>
      <c r="W30" s="458"/>
      <c r="X30" s="458" t="str">
        <f>IF(AND('Mapa final'!$H$26="Baja",'Mapa final'!$L$26="Moderado"),CONCATENATE("R",'Mapa final'!$A$26),"")</f>
        <v/>
      </c>
      <c r="Y30" s="458"/>
      <c r="Z30" s="458" t="str">
        <f>IF(AND('Mapa final'!$H$28="Baja",'Mapa final'!$L$28="Moderado"),CONCATENATE("R",'Mapa final'!$A$28),"")</f>
        <v/>
      </c>
      <c r="AA30" s="459"/>
      <c r="AB30" s="433" t="str">
        <f>IF(AND('Mapa final'!$H$25="Baja",'Mapa final'!$L$25="Mayor"),CONCATENATE("R",'Mapa final'!$A$25),"")</f>
        <v/>
      </c>
      <c r="AC30" s="434"/>
      <c r="AD30" s="434" t="str">
        <f>IF(AND('Mapa final'!$H$26="Baja",'Mapa final'!$L$26="Mayor"),CONCATENATE("R",'Mapa final'!$A$26),"")</f>
        <v/>
      </c>
      <c r="AE30" s="434"/>
      <c r="AF30" s="434" t="str">
        <f>IF(AND('Mapa final'!$H$28="Baja",'Mapa final'!$L$28="Mayor"),CONCATENATE("R",'Mapa final'!$A$28),"")</f>
        <v/>
      </c>
      <c r="AG30" s="436"/>
      <c r="AH30" s="448" t="str">
        <f>IF(AND('Mapa final'!$H$25="Baja",'Mapa final'!$L$25="Catastrófico"),CONCATENATE("R",'Mapa final'!$A$25),"")</f>
        <v/>
      </c>
      <c r="AI30" s="449"/>
      <c r="AJ30" s="449" t="str">
        <f>IF(AND('Mapa final'!$H$26="Baja",'Mapa final'!$L$26="Catastrófico"),CONCATENATE("R",'Mapa final'!$A$26),"")</f>
        <v/>
      </c>
      <c r="AK30" s="449"/>
      <c r="AL30" s="449" t="str">
        <f>IF(AND('Mapa final'!$H$28="Baja",'Mapa final'!$L$28="Catastrófico"),CONCATENATE("R",'Mapa final'!$A$28),"")</f>
        <v/>
      </c>
      <c r="AM30" s="450"/>
      <c r="AN30" s="83"/>
      <c r="AO30" s="413" t="s">
        <v>99</v>
      </c>
      <c r="AP30" s="414"/>
      <c r="AQ30" s="414"/>
      <c r="AR30" s="414"/>
      <c r="AS30" s="414"/>
      <c r="AT30" s="41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84"/>
      <c r="C31" s="384"/>
      <c r="D31" s="385"/>
      <c r="E31" s="425"/>
      <c r="F31" s="426"/>
      <c r="G31" s="426"/>
      <c r="H31" s="426"/>
      <c r="I31" s="426"/>
      <c r="J31" s="462"/>
      <c r="K31" s="460"/>
      <c r="L31" s="460"/>
      <c r="M31" s="460"/>
      <c r="N31" s="460"/>
      <c r="O31" s="461"/>
      <c r="P31" s="452"/>
      <c r="Q31" s="452"/>
      <c r="R31" s="452"/>
      <c r="S31" s="452"/>
      <c r="T31" s="452"/>
      <c r="U31" s="453"/>
      <c r="V31" s="451"/>
      <c r="W31" s="452"/>
      <c r="X31" s="452"/>
      <c r="Y31" s="452"/>
      <c r="Z31" s="452"/>
      <c r="AA31" s="453"/>
      <c r="AB31" s="435"/>
      <c r="AC31" s="431"/>
      <c r="AD31" s="431"/>
      <c r="AE31" s="431"/>
      <c r="AF31" s="431"/>
      <c r="AG31" s="432"/>
      <c r="AH31" s="442"/>
      <c r="AI31" s="443"/>
      <c r="AJ31" s="443"/>
      <c r="AK31" s="443"/>
      <c r="AL31" s="443"/>
      <c r="AM31" s="444"/>
      <c r="AN31" s="83"/>
      <c r="AO31" s="416"/>
      <c r="AP31" s="417"/>
      <c r="AQ31" s="417"/>
      <c r="AR31" s="417"/>
      <c r="AS31" s="417"/>
      <c r="AT31" s="41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84"/>
      <c r="C32" s="384"/>
      <c r="D32" s="385"/>
      <c r="E32" s="425"/>
      <c r="F32" s="426"/>
      <c r="G32" s="426"/>
      <c r="H32" s="426"/>
      <c r="I32" s="426"/>
      <c r="J32" s="462" t="e">
        <f>IF(AND('Mapa final'!#REF!="Baja",'Mapa final'!#REF!="Leve"),CONCATENATE("R",'Mapa final'!#REF!),"")</f>
        <v>#REF!</v>
      </c>
      <c r="K32" s="460"/>
      <c r="L32" s="460" t="e">
        <f>IF(AND('Mapa final'!#REF!="Baja",'Mapa final'!#REF!="Leve"),CONCATENATE("R",'Mapa final'!#REF!),"")</f>
        <v>#REF!</v>
      </c>
      <c r="M32" s="460"/>
      <c r="N32" s="460" t="e">
        <f>IF(AND('Mapa final'!#REF!="Baja",'Mapa final'!#REF!="Leve"),CONCATENATE("R",'Mapa final'!#REF!),"")</f>
        <v>#REF!</v>
      </c>
      <c r="O32" s="461"/>
      <c r="P32" s="452" t="e">
        <f>IF(AND('Mapa final'!#REF!="Baja",'Mapa final'!#REF!="Menor"),CONCATENATE("R",'Mapa final'!#REF!),"")</f>
        <v>#REF!</v>
      </c>
      <c r="Q32" s="452"/>
      <c r="R32" s="452" t="e">
        <f>IF(AND('Mapa final'!#REF!="Baja",'Mapa final'!#REF!="Menor"),CONCATENATE("R",'Mapa final'!#REF!),"")</f>
        <v>#REF!</v>
      </c>
      <c r="S32" s="452"/>
      <c r="T32" s="452" t="e">
        <f>IF(AND('Mapa final'!#REF!="Baja",'Mapa final'!#REF!="Menor"),CONCATENATE("R",'Mapa final'!#REF!),"")</f>
        <v>#REF!</v>
      </c>
      <c r="U32" s="453"/>
      <c r="V32" s="451" t="e">
        <f>IF(AND('Mapa final'!#REF!="Baja",'Mapa final'!#REF!="Moderado"),CONCATENATE("R",'Mapa final'!#REF!),"")</f>
        <v>#REF!</v>
      </c>
      <c r="W32" s="452"/>
      <c r="X32" s="452" t="e">
        <f>IF(AND('Mapa final'!#REF!="Baja",'Mapa final'!#REF!="Moderado"),CONCATENATE("R",'Mapa final'!#REF!),"")</f>
        <v>#REF!</v>
      </c>
      <c r="Y32" s="452"/>
      <c r="Z32" s="452" t="e">
        <f>IF(AND('Mapa final'!#REF!="Baja",'Mapa final'!#REF!="Moderado"),CONCATENATE("R",'Mapa final'!#REF!),"")</f>
        <v>#REF!</v>
      </c>
      <c r="AA32" s="453"/>
      <c r="AB32" s="435" t="e">
        <f>IF(AND('Mapa final'!#REF!="Baja",'Mapa final'!#REF!="Mayor"),CONCATENATE("R",'Mapa final'!#REF!),"")</f>
        <v>#REF!</v>
      </c>
      <c r="AC32" s="431"/>
      <c r="AD32" s="431" t="e">
        <f>IF(AND('Mapa final'!#REF!="Baja",'Mapa final'!#REF!="Mayor"),CONCATENATE("R",'Mapa final'!#REF!),"")</f>
        <v>#REF!</v>
      </c>
      <c r="AE32" s="431"/>
      <c r="AF32" s="431" t="e">
        <f>IF(AND('Mapa final'!#REF!="Baja",'Mapa final'!#REF!="Mayor"),CONCATENATE("R",'Mapa final'!#REF!),"")</f>
        <v>#REF!</v>
      </c>
      <c r="AG32" s="432"/>
      <c r="AH32" s="442" t="e">
        <f>IF(AND('Mapa final'!#REF!="Baja",'Mapa final'!#REF!="Catastrófico"),CONCATENATE("R",'Mapa final'!#REF!),"")</f>
        <v>#REF!</v>
      </c>
      <c r="AI32" s="443"/>
      <c r="AJ32" s="443" t="e">
        <f>IF(AND('Mapa final'!#REF!="Baja",'Mapa final'!#REF!="Catastrófico"),CONCATENATE("R",'Mapa final'!#REF!),"")</f>
        <v>#REF!</v>
      </c>
      <c r="AK32" s="443"/>
      <c r="AL32" s="443" t="e">
        <f>IF(AND('Mapa final'!#REF!="Baja",'Mapa final'!#REF!="Catastrófico"),CONCATENATE("R",'Mapa final'!#REF!),"")</f>
        <v>#REF!</v>
      </c>
      <c r="AM32" s="444"/>
      <c r="AN32" s="83"/>
      <c r="AO32" s="416"/>
      <c r="AP32" s="417"/>
      <c r="AQ32" s="417"/>
      <c r="AR32" s="417"/>
      <c r="AS32" s="417"/>
      <c r="AT32" s="41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84"/>
      <c r="C33" s="384"/>
      <c r="D33" s="385"/>
      <c r="E33" s="425"/>
      <c r="F33" s="426"/>
      <c r="G33" s="426"/>
      <c r="H33" s="426"/>
      <c r="I33" s="426"/>
      <c r="J33" s="462"/>
      <c r="K33" s="460"/>
      <c r="L33" s="460"/>
      <c r="M33" s="460"/>
      <c r="N33" s="460"/>
      <c r="O33" s="461"/>
      <c r="P33" s="452"/>
      <c r="Q33" s="452"/>
      <c r="R33" s="452"/>
      <c r="S33" s="452"/>
      <c r="T33" s="452"/>
      <c r="U33" s="453"/>
      <c r="V33" s="451"/>
      <c r="W33" s="452"/>
      <c r="X33" s="452"/>
      <c r="Y33" s="452"/>
      <c r="Z33" s="452"/>
      <c r="AA33" s="453"/>
      <c r="AB33" s="435"/>
      <c r="AC33" s="431"/>
      <c r="AD33" s="431"/>
      <c r="AE33" s="431"/>
      <c r="AF33" s="431"/>
      <c r="AG33" s="432"/>
      <c r="AH33" s="442"/>
      <c r="AI33" s="443"/>
      <c r="AJ33" s="443"/>
      <c r="AK33" s="443"/>
      <c r="AL33" s="443"/>
      <c r="AM33" s="444"/>
      <c r="AN33" s="83"/>
      <c r="AO33" s="416"/>
      <c r="AP33" s="417"/>
      <c r="AQ33" s="417"/>
      <c r="AR33" s="417"/>
      <c r="AS33" s="417"/>
      <c r="AT33" s="41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84"/>
      <c r="C34" s="384"/>
      <c r="D34" s="385"/>
      <c r="E34" s="425"/>
      <c r="F34" s="426"/>
      <c r="G34" s="426"/>
      <c r="H34" s="426"/>
      <c r="I34" s="426"/>
      <c r="J34" s="462" t="e">
        <f>IF(AND('Mapa final'!#REF!="Baja",'Mapa final'!#REF!="Leve"),CONCATENATE("R",'Mapa final'!#REF!),"")</f>
        <v>#REF!</v>
      </c>
      <c r="K34" s="460"/>
      <c r="L34" s="460" t="str">
        <f>IF(AND('Mapa final'!$H$29="Baja",'Mapa final'!$L$29="Leve"),CONCATENATE("R",'Mapa final'!$A$29),"")</f>
        <v/>
      </c>
      <c r="M34" s="460"/>
      <c r="N34" s="460" t="str">
        <f>IF(AND('Mapa final'!$H$30="Baja",'Mapa final'!$L$30="Leve"),CONCATENATE("R",'Mapa final'!$A$30),"")</f>
        <v/>
      </c>
      <c r="O34" s="461"/>
      <c r="P34" s="452" t="e">
        <f>IF(AND('Mapa final'!#REF!="Baja",'Mapa final'!#REF!="Menor"),CONCATENATE("R",'Mapa final'!#REF!),"")</f>
        <v>#REF!</v>
      </c>
      <c r="Q34" s="452"/>
      <c r="R34" s="452" t="str">
        <f>IF(AND('Mapa final'!$H$29="Baja",'Mapa final'!$L$29="Menor"),CONCATENATE("R",'Mapa final'!$A$29),"")</f>
        <v/>
      </c>
      <c r="S34" s="452"/>
      <c r="T34" s="452" t="str">
        <f>IF(AND('Mapa final'!$H$30="Baja",'Mapa final'!$L$30="Menor"),CONCATENATE("R",'Mapa final'!$A$30),"")</f>
        <v/>
      </c>
      <c r="U34" s="453"/>
      <c r="V34" s="451" t="e">
        <f>IF(AND('Mapa final'!#REF!="Baja",'Mapa final'!#REF!="Moderado"),CONCATENATE("R",'Mapa final'!#REF!),"")</f>
        <v>#REF!</v>
      </c>
      <c r="W34" s="452"/>
      <c r="X34" s="452" t="str">
        <f>IF(AND('Mapa final'!$H$29="Baja",'Mapa final'!$L$29="Moderado"),CONCATENATE("R",'Mapa final'!$A$29),"")</f>
        <v/>
      </c>
      <c r="Y34" s="452"/>
      <c r="Z34" s="452" t="str">
        <f>IF(AND('Mapa final'!$H$30="Baja",'Mapa final'!$L$30="Moderado"),CONCATENATE("R",'Mapa final'!$A$30),"")</f>
        <v/>
      </c>
      <c r="AA34" s="453"/>
      <c r="AB34" s="435" t="e">
        <f>IF(AND('Mapa final'!#REF!="Baja",'Mapa final'!#REF!="Mayor"),CONCATENATE("R",'Mapa final'!#REF!),"")</f>
        <v>#REF!</v>
      </c>
      <c r="AC34" s="431"/>
      <c r="AD34" s="431" t="str">
        <f>IF(AND('Mapa final'!$H$29="Baja",'Mapa final'!$L$29="Mayor"),CONCATENATE("R",'Mapa final'!$A$29),"")</f>
        <v/>
      </c>
      <c r="AE34" s="431"/>
      <c r="AF34" s="431" t="str">
        <f>IF(AND('Mapa final'!$H$30="Baja",'Mapa final'!$L$30="Mayor"),CONCATENATE("R",'Mapa final'!$A$30),"")</f>
        <v/>
      </c>
      <c r="AG34" s="432"/>
      <c r="AH34" s="442" t="e">
        <f>IF(AND('Mapa final'!#REF!="Baja",'Mapa final'!#REF!="Catastrófico"),CONCATENATE("R",'Mapa final'!#REF!),"")</f>
        <v>#REF!</v>
      </c>
      <c r="AI34" s="443"/>
      <c r="AJ34" s="443" t="str">
        <f>IF(AND('Mapa final'!$H$29="Baja",'Mapa final'!$L$29="Catastrófico"),CONCATENATE("R",'Mapa final'!$A$29),"")</f>
        <v/>
      </c>
      <c r="AK34" s="443"/>
      <c r="AL34" s="443" t="str">
        <f>IF(AND('Mapa final'!$H$30="Baja",'Mapa final'!$L$30="Catastrófico"),CONCATENATE("R",'Mapa final'!$A$30),"")</f>
        <v/>
      </c>
      <c r="AM34" s="444"/>
      <c r="AN34" s="83"/>
      <c r="AO34" s="416"/>
      <c r="AP34" s="417"/>
      <c r="AQ34" s="417"/>
      <c r="AR34" s="417"/>
      <c r="AS34" s="417"/>
      <c r="AT34" s="41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84"/>
      <c r="C35" s="384"/>
      <c r="D35" s="385"/>
      <c r="E35" s="425"/>
      <c r="F35" s="426"/>
      <c r="G35" s="426"/>
      <c r="H35" s="426"/>
      <c r="I35" s="426"/>
      <c r="J35" s="462"/>
      <c r="K35" s="460"/>
      <c r="L35" s="460"/>
      <c r="M35" s="460"/>
      <c r="N35" s="460"/>
      <c r="O35" s="461"/>
      <c r="P35" s="452"/>
      <c r="Q35" s="452"/>
      <c r="R35" s="452"/>
      <c r="S35" s="452"/>
      <c r="T35" s="452"/>
      <c r="U35" s="453"/>
      <c r="V35" s="451"/>
      <c r="W35" s="452"/>
      <c r="X35" s="452"/>
      <c r="Y35" s="452"/>
      <c r="Z35" s="452"/>
      <c r="AA35" s="453"/>
      <c r="AB35" s="435"/>
      <c r="AC35" s="431"/>
      <c r="AD35" s="431"/>
      <c r="AE35" s="431"/>
      <c r="AF35" s="431"/>
      <c r="AG35" s="432"/>
      <c r="AH35" s="442"/>
      <c r="AI35" s="443"/>
      <c r="AJ35" s="443"/>
      <c r="AK35" s="443"/>
      <c r="AL35" s="443"/>
      <c r="AM35" s="444"/>
      <c r="AN35" s="83"/>
      <c r="AO35" s="416"/>
      <c r="AP35" s="417"/>
      <c r="AQ35" s="417"/>
      <c r="AR35" s="417"/>
      <c r="AS35" s="417"/>
      <c r="AT35" s="41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84"/>
      <c r="C36" s="384"/>
      <c r="D36" s="385"/>
      <c r="E36" s="425"/>
      <c r="F36" s="426"/>
      <c r="G36" s="426"/>
      <c r="H36" s="426"/>
      <c r="I36" s="426"/>
      <c r="J36" s="462" t="str">
        <f>IF(AND('Mapa final'!$H$36="Baja",'Mapa final'!$L$36="Leve"),CONCATENATE("R",'Mapa final'!$A$36),"")</f>
        <v/>
      </c>
      <c r="K36" s="460"/>
      <c r="L36" s="460" t="str">
        <f>IF(AND('Mapa final'!$H$42="Baja",'Mapa final'!$L$42="Leve"),CONCATENATE("R",'Mapa final'!$A$42),"")</f>
        <v/>
      </c>
      <c r="M36" s="460"/>
      <c r="N36" s="460" t="str">
        <f>IF(AND('Mapa final'!$H$48="Baja",'Mapa final'!$L$48="Leve"),CONCATENATE("R",'Mapa final'!$A$48),"")</f>
        <v/>
      </c>
      <c r="O36" s="461"/>
      <c r="P36" s="452" t="str">
        <f>IF(AND('Mapa final'!$H$36="Baja",'Mapa final'!$L$36="Menor"),CONCATENATE("R",'Mapa final'!$A$36),"")</f>
        <v/>
      </c>
      <c r="Q36" s="452"/>
      <c r="R36" s="452" t="str">
        <f>IF(AND('Mapa final'!$H$42="Baja",'Mapa final'!$L$42="Menor"),CONCATENATE("R",'Mapa final'!$A$42),"")</f>
        <v/>
      </c>
      <c r="S36" s="452"/>
      <c r="T36" s="452" t="str">
        <f>IF(AND('Mapa final'!$H$48="Baja",'Mapa final'!$L$48="Menor"),CONCATENATE("R",'Mapa final'!$A$48),"")</f>
        <v/>
      </c>
      <c r="U36" s="453"/>
      <c r="V36" s="451" t="str">
        <f>IF(AND('Mapa final'!$H$36="Baja",'Mapa final'!$L$36="Moderado"),CONCATENATE("R",'Mapa final'!$A$36),"")</f>
        <v/>
      </c>
      <c r="W36" s="452"/>
      <c r="X36" s="452" t="str">
        <f>IF(AND('Mapa final'!$H$42="Baja",'Mapa final'!$L$42="Moderado"),CONCATENATE("R",'Mapa final'!$A$42),"")</f>
        <v/>
      </c>
      <c r="Y36" s="452"/>
      <c r="Z36" s="452" t="str">
        <f>IF(AND('Mapa final'!$H$48="Baja",'Mapa final'!$L$48="Moderado"),CONCATENATE("R",'Mapa final'!$A$48),"")</f>
        <v/>
      </c>
      <c r="AA36" s="453"/>
      <c r="AB36" s="435" t="str">
        <f>IF(AND('Mapa final'!$H$36="Baja",'Mapa final'!$L$36="Mayor"),CONCATENATE("R",'Mapa final'!$A$36),"")</f>
        <v/>
      </c>
      <c r="AC36" s="431"/>
      <c r="AD36" s="431" t="str">
        <f>IF(AND('Mapa final'!$H$42="Baja",'Mapa final'!$L$42="Mayor"),CONCATENATE("R",'Mapa final'!$A$42),"")</f>
        <v/>
      </c>
      <c r="AE36" s="431"/>
      <c r="AF36" s="431" t="str">
        <f>IF(AND('Mapa final'!$H$48="Baja",'Mapa final'!$L$48="Mayor"),CONCATENATE("R",'Mapa final'!$A$48),"")</f>
        <v/>
      </c>
      <c r="AG36" s="432"/>
      <c r="AH36" s="442" t="str">
        <f>IF(AND('Mapa final'!$H$36="Baja",'Mapa final'!$L$36="Catastrófico"),CONCATENATE("R",'Mapa final'!$A$36),"")</f>
        <v/>
      </c>
      <c r="AI36" s="443"/>
      <c r="AJ36" s="443" t="str">
        <f>IF(AND('Mapa final'!$H$42="Baja",'Mapa final'!$L$42="Catastrófico"),CONCATENATE("R",'Mapa final'!$A$42),"")</f>
        <v/>
      </c>
      <c r="AK36" s="443"/>
      <c r="AL36" s="443" t="str">
        <f>IF(AND('Mapa final'!$H$48="Baja",'Mapa final'!$L$48="Catastrófico"),CONCATENATE("R",'Mapa final'!$A$48),"")</f>
        <v/>
      </c>
      <c r="AM36" s="444"/>
      <c r="AN36" s="83"/>
      <c r="AO36" s="416"/>
      <c r="AP36" s="417"/>
      <c r="AQ36" s="417"/>
      <c r="AR36" s="417"/>
      <c r="AS36" s="417"/>
      <c r="AT36" s="41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384"/>
      <c r="C37" s="384"/>
      <c r="D37" s="385"/>
      <c r="E37" s="428"/>
      <c r="F37" s="429"/>
      <c r="G37" s="429"/>
      <c r="H37" s="429"/>
      <c r="I37" s="429"/>
      <c r="J37" s="463"/>
      <c r="K37" s="464"/>
      <c r="L37" s="464"/>
      <c r="M37" s="464"/>
      <c r="N37" s="464"/>
      <c r="O37" s="465"/>
      <c r="P37" s="455"/>
      <c r="Q37" s="455"/>
      <c r="R37" s="455"/>
      <c r="S37" s="455"/>
      <c r="T37" s="455"/>
      <c r="U37" s="456"/>
      <c r="V37" s="454"/>
      <c r="W37" s="455"/>
      <c r="X37" s="455"/>
      <c r="Y37" s="455"/>
      <c r="Z37" s="455"/>
      <c r="AA37" s="456"/>
      <c r="AB37" s="439"/>
      <c r="AC37" s="440"/>
      <c r="AD37" s="440"/>
      <c r="AE37" s="440"/>
      <c r="AF37" s="440"/>
      <c r="AG37" s="441"/>
      <c r="AH37" s="445"/>
      <c r="AI37" s="446"/>
      <c r="AJ37" s="446"/>
      <c r="AK37" s="446"/>
      <c r="AL37" s="446"/>
      <c r="AM37" s="447"/>
      <c r="AN37" s="83"/>
      <c r="AO37" s="419"/>
      <c r="AP37" s="420"/>
      <c r="AQ37" s="420"/>
      <c r="AR37" s="420"/>
      <c r="AS37" s="420"/>
      <c r="AT37" s="42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84"/>
      <c r="C38" s="384"/>
      <c r="D38" s="385"/>
      <c r="E38" s="422" t="s">
        <v>100</v>
      </c>
      <c r="F38" s="423"/>
      <c r="G38" s="423"/>
      <c r="H38" s="423"/>
      <c r="I38" s="424"/>
      <c r="J38" s="466" t="str">
        <f>IF(AND('Mapa final'!$H$25="Muy Baja",'Mapa final'!$L$25="Leve"),CONCATENATE("R",'Mapa final'!$A$25),"")</f>
        <v/>
      </c>
      <c r="K38" s="467"/>
      <c r="L38" s="467" t="str">
        <f>IF(AND('Mapa final'!$H$26="Muy Baja",'Mapa final'!$L$26="Leve"),CONCATENATE("R",'Mapa final'!$A$26),"")</f>
        <v/>
      </c>
      <c r="M38" s="467"/>
      <c r="N38" s="467" t="str">
        <f>IF(AND('Mapa final'!$H$28="Muy Baja",'Mapa final'!$L$28="Leve"),CONCATENATE("R",'Mapa final'!$A$28),"")</f>
        <v/>
      </c>
      <c r="O38" s="468"/>
      <c r="P38" s="466" t="str">
        <f>IF(AND('Mapa final'!$H$25="Muy Baja",'Mapa final'!$L$25="Menor"),CONCATENATE("R",'Mapa final'!$A$25),"")</f>
        <v/>
      </c>
      <c r="Q38" s="467"/>
      <c r="R38" s="467" t="str">
        <f>IF(AND('Mapa final'!$H$26="Muy Baja",'Mapa final'!$L$26="Menor"),CONCATENATE("R",'Mapa final'!$A$26),"")</f>
        <v/>
      </c>
      <c r="S38" s="467"/>
      <c r="T38" s="467" t="str">
        <f>IF(AND('Mapa final'!$H$28="Muy Baja",'Mapa final'!$L$28="Menor"),CONCATENATE("R",'Mapa final'!$A$28),"")</f>
        <v/>
      </c>
      <c r="U38" s="468"/>
      <c r="V38" s="457" t="str">
        <f>IF(AND('Mapa final'!$H$25="Muy Baja",'Mapa final'!$L$25="Moderado"),CONCATENATE("R",'Mapa final'!$A$25),"")</f>
        <v/>
      </c>
      <c r="W38" s="458"/>
      <c r="X38" s="458" t="str">
        <f>IF(AND('Mapa final'!$H$26="Muy Baja",'Mapa final'!$L$26="Moderado"),CONCATENATE("R",'Mapa final'!$A$26),"")</f>
        <v/>
      </c>
      <c r="Y38" s="458"/>
      <c r="Z38" s="458" t="str">
        <f>IF(AND('Mapa final'!$H$28="Muy Baja",'Mapa final'!$L$28="Moderado"),CONCATENATE("R",'Mapa final'!$A$28),"")</f>
        <v/>
      </c>
      <c r="AA38" s="459"/>
      <c r="AB38" s="433" t="str">
        <f>IF(AND('Mapa final'!$H$25="Muy Baja",'Mapa final'!$L$25="Mayor"),CONCATENATE("R",'Mapa final'!$A$25),"")</f>
        <v/>
      </c>
      <c r="AC38" s="434"/>
      <c r="AD38" s="434" t="str">
        <f>IF(AND('Mapa final'!$H$26="Muy Baja",'Mapa final'!$L$26="Mayor"),CONCATENATE("R",'Mapa final'!$A$26),"")</f>
        <v/>
      </c>
      <c r="AE38" s="434"/>
      <c r="AF38" s="434" t="str">
        <f>IF(AND('Mapa final'!$H$28="Muy Baja",'Mapa final'!$L$28="Mayor"),CONCATENATE("R",'Mapa final'!$A$28),"")</f>
        <v/>
      </c>
      <c r="AG38" s="436"/>
      <c r="AH38" s="448" t="str">
        <f>IF(AND('Mapa final'!$H$25="Muy Baja",'Mapa final'!$L$25="Catastrófico"),CONCATENATE("R",'Mapa final'!$A$25),"")</f>
        <v/>
      </c>
      <c r="AI38" s="449"/>
      <c r="AJ38" s="449" t="str">
        <f>IF(AND('Mapa final'!$H$26="Muy Baja",'Mapa final'!$L$26="Catastrófico"),CONCATENATE("R",'Mapa final'!$A$26),"")</f>
        <v/>
      </c>
      <c r="AK38" s="449"/>
      <c r="AL38" s="449" t="str">
        <f>IF(AND('Mapa final'!$H$28="Muy Baja",'Mapa final'!$L$28="Catastrófico"),CONCATENATE("R",'Mapa final'!$A$28),"")</f>
        <v/>
      </c>
      <c r="AM38" s="45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84"/>
      <c r="C39" s="384"/>
      <c r="D39" s="385"/>
      <c r="E39" s="425"/>
      <c r="F39" s="426"/>
      <c r="G39" s="426"/>
      <c r="H39" s="426"/>
      <c r="I39" s="427"/>
      <c r="J39" s="462"/>
      <c r="K39" s="460"/>
      <c r="L39" s="460"/>
      <c r="M39" s="460"/>
      <c r="N39" s="460"/>
      <c r="O39" s="461"/>
      <c r="P39" s="462"/>
      <c r="Q39" s="460"/>
      <c r="R39" s="460"/>
      <c r="S39" s="460"/>
      <c r="T39" s="460"/>
      <c r="U39" s="461"/>
      <c r="V39" s="451"/>
      <c r="W39" s="452"/>
      <c r="X39" s="452"/>
      <c r="Y39" s="452"/>
      <c r="Z39" s="452"/>
      <c r="AA39" s="453"/>
      <c r="AB39" s="435"/>
      <c r="AC39" s="431"/>
      <c r="AD39" s="431"/>
      <c r="AE39" s="431"/>
      <c r="AF39" s="431"/>
      <c r="AG39" s="432"/>
      <c r="AH39" s="442"/>
      <c r="AI39" s="443"/>
      <c r="AJ39" s="443"/>
      <c r="AK39" s="443"/>
      <c r="AL39" s="443"/>
      <c r="AM39" s="44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84"/>
      <c r="C40" s="384"/>
      <c r="D40" s="385"/>
      <c r="E40" s="425"/>
      <c r="F40" s="426"/>
      <c r="G40" s="426"/>
      <c r="H40" s="426"/>
      <c r="I40" s="427"/>
      <c r="J40" s="462" t="e">
        <f>IF(AND('Mapa final'!#REF!="Muy Baja",'Mapa final'!#REF!="Leve"),CONCATENATE("R",'Mapa final'!#REF!),"")</f>
        <v>#REF!</v>
      </c>
      <c r="K40" s="460"/>
      <c r="L40" s="460" t="e">
        <f>IF(AND('Mapa final'!#REF!="Muy Baja",'Mapa final'!#REF!="Leve"),CONCATENATE("R",'Mapa final'!#REF!),"")</f>
        <v>#REF!</v>
      </c>
      <c r="M40" s="460"/>
      <c r="N40" s="460" t="e">
        <f>IF(AND('Mapa final'!#REF!="Muy Baja",'Mapa final'!#REF!="Leve"),CONCATENATE("R",'Mapa final'!#REF!),"")</f>
        <v>#REF!</v>
      </c>
      <c r="O40" s="461"/>
      <c r="P40" s="462" t="e">
        <f>IF(AND('Mapa final'!#REF!="Muy Baja",'Mapa final'!#REF!="Menor"),CONCATENATE("R",'Mapa final'!#REF!),"")</f>
        <v>#REF!</v>
      </c>
      <c r="Q40" s="460"/>
      <c r="R40" s="460" t="e">
        <f>IF(AND('Mapa final'!#REF!="Muy Baja",'Mapa final'!#REF!="Menor"),CONCATENATE("R",'Mapa final'!#REF!),"")</f>
        <v>#REF!</v>
      </c>
      <c r="S40" s="460"/>
      <c r="T40" s="460" t="e">
        <f>IF(AND('Mapa final'!#REF!="Muy Baja",'Mapa final'!#REF!="Menor"),CONCATENATE("R",'Mapa final'!#REF!),"")</f>
        <v>#REF!</v>
      </c>
      <c r="U40" s="461"/>
      <c r="V40" s="451" t="e">
        <f>IF(AND('Mapa final'!#REF!="Muy Baja",'Mapa final'!#REF!="Moderado"),CONCATENATE("R",'Mapa final'!#REF!),"")</f>
        <v>#REF!</v>
      </c>
      <c r="W40" s="452"/>
      <c r="X40" s="452" t="e">
        <f>IF(AND('Mapa final'!#REF!="Muy Baja",'Mapa final'!#REF!="Moderado"),CONCATENATE("R",'Mapa final'!#REF!),"")</f>
        <v>#REF!</v>
      </c>
      <c r="Y40" s="452"/>
      <c r="Z40" s="452" t="e">
        <f>IF(AND('Mapa final'!#REF!="Muy Baja",'Mapa final'!#REF!="Moderado"),CONCATENATE("R",'Mapa final'!#REF!),"")</f>
        <v>#REF!</v>
      </c>
      <c r="AA40" s="453"/>
      <c r="AB40" s="435" t="e">
        <f>IF(AND('Mapa final'!#REF!="Muy Baja",'Mapa final'!#REF!="Mayor"),CONCATENATE("R",'Mapa final'!#REF!),"")</f>
        <v>#REF!</v>
      </c>
      <c r="AC40" s="431"/>
      <c r="AD40" s="431" t="e">
        <f>IF(AND('Mapa final'!#REF!="Muy Baja",'Mapa final'!#REF!="Mayor"),CONCATENATE("R",'Mapa final'!#REF!),"")</f>
        <v>#REF!</v>
      </c>
      <c r="AE40" s="431"/>
      <c r="AF40" s="431" t="e">
        <f>IF(AND('Mapa final'!#REF!="Muy Baja",'Mapa final'!#REF!="Mayor"),CONCATENATE("R",'Mapa final'!#REF!),"")</f>
        <v>#REF!</v>
      </c>
      <c r="AG40" s="432"/>
      <c r="AH40" s="442" t="e">
        <f>IF(AND('Mapa final'!#REF!="Muy Baja",'Mapa final'!#REF!="Catastrófico"),CONCATENATE("R",'Mapa final'!#REF!),"")</f>
        <v>#REF!</v>
      </c>
      <c r="AI40" s="443"/>
      <c r="AJ40" s="443" t="e">
        <f>IF(AND('Mapa final'!#REF!="Muy Baja",'Mapa final'!#REF!="Catastrófico"),CONCATENATE("R",'Mapa final'!#REF!),"")</f>
        <v>#REF!</v>
      </c>
      <c r="AK40" s="443"/>
      <c r="AL40" s="443" t="e">
        <f>IF(AND('Mapa final'!#REF!="Muy Baja",'Mapa final'!#REF!="Catastrófico"),CONCATENATE("R",'Mapa final'!#REF!),"")</f>
        <v>#REF!</v>
      </c>
      <c r="AM40" s="44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84"/>
      <c r="C41" s="384"/>
      <c r="D41" s="385"/>
      <c r="E41" s="425"/>
      <c r="F41" s="426"/>
      <c r="G41" s="426"/>
      <c r="H41" s="426"/>
      <c r="I41" s="427"/>
      <c r="J41" s="462"/>
      <c r="K41" s="460"/>
      <c r="L41" s="460"/>
      <c r="M41" s="460"/>
      <c r="N41" s="460"/>
      <c r="O41" s="461"/>
      <c r="P41" s="462"/>
      <c r="Q41" s="460"/>
      <c r="R41" s="460"/>
      <c r="S41" s="460"/>
      <c r="T41" s="460"/>
      <c r="U41" s="461"/>
      <c r="V41" s="451"/>
      <c r="W41" s="452"/>
      <c r="X41" s="452"/>
      <c r="Y41" s="452"/>
      <c r="Z41" s="452"/>
      <c r="AA41" s="453"/>
      <c r="AB41" s="435"/>
      <c r="AC41" s="431"/>
      <c r="AD41" s="431"/>
      <c r="AE41" s="431"/>
      <c r="AF41" s="431"/>
      <c r="AG41" s="432"/>
      <c r="AH41" s="442"/>
      <c r="AI41" s="443"/>
      <c r="AJ41" s="443"/>
      <c r="AK41" s="443"/>
      <c r="AL41" s="443"/>
      <c r="AM41" s="44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84"/>
      <c r="C42" s="384"/>
      <c r="D42" s="385"/>
      <c r="E42" s="425"/>
      <c r="F42" s="426"/>
      <c r="G42" s="426"/>
      <c r="H42" s="426"/>
      <c r="I42" s="427"/>
      <c r="J42" s="462" t="e">
        <f>IF(AND('Mapa final'!#REF!="Muy Baja",'Mapa final'!#REF!="Leve"),CONCATENATE("R",'Mapa final'!#REF!),"")</f>
        <v>#REF!</v>
      </c>
      <c r="K42" s="460"/>
      <c r="L42" s="460" t="str">
        <f>IF(AND('Mapa final'!$H$29="Muy Baja",'Mapa final'!$L$29="Leve"),CONCATENATE("R",'Mapa final'!$A$29),"")</f>
        <v/>
      </c>
      <c r="M42" s="460"/>
      <c r="N42" s="460" t="str">
        <f>IF(AND('Mapa final'!$H$30="Muy Baja",'Mapa final'!$L$30="Leve"),CONCATENATE("R",'Mapa final'!$A$30),"")</f>
        <v/>
      </c>
      <c r="O42" s="461"/>
      <c r="P42" s="462" t="e">
        <f>IF(AND('Mapa final'!#REF!="Muy Baja",'Mapa final'!#REF!="Menor"),CONCATENATE("R",'Mapa final'!#REF!),"")</f>
        <v>#REF!</v>
      </c>
      <c r="Q42" s="460"/>
      <c r="R42" s="460" t="str">
        <f>IF(AND('Mapa final'!$H$29="Muy Baja",'Mapa final'!$L$29="Menor"),CONCATENATE("R",'Mapa final'!$A$29),"")</f>
        <v/>
      </c>
      <c r="S42" s="460"/>
      <c r="T42" s="460" t="str">
        <f>IF(AND('Mapa final'!$H$30="Muy Baja",'Mapa final'!$L$30="Menor"),CONCATENATE("R",'Mapa final'!$A$30),"")</f>
        <v/>
      </c>
      <c r="U42" s="461"/>
      <c r="V42" s="451" t="e">
        <f>IF(AND('Mapa final'!#REF!="Muy Baja",'Mapa final'!#REF!="Moderado"),CONCATENATE("R",'Mapa final'!#REF!),"")</f>
        <v>#REF!</v>
      </c>
      <c r="W42" s="452"/>
      <c r="X42" s="452" t="str">
        <f>IF(AND('Mapa final'!$H$29="Muy Baja",'Mapa final'!$L$29="Moderado"),CONCATENATE("R",'Mapa final'!$A$29),"")</f>
        <v/>
      </c>
      <c r="Y42" s="452"/>
      <c r="Z42" s="452" t="str">
        <f>IF(AND('Mapa final'!$H$30="Muy Baja",'Mapa final'!$L$30="Moderado"),CONCATENATE("R",'Mapa final'!$A$30),"")</f>
        <v/>
      </c>
      <c r="AA42" s="453"/>
      <c r="AB42" s="435" t="e">
        <f>IF(AND('Mapa final'!#REF!="Muy Baja",'Mapa final'!#REF!="Mayor"),CONCATENATE("R",'Mapa final'!#REF!),"")</f>
        <v>#REF!</v>
      </c>
      <c r="AC42" s="431"/>
      <c r="AD42" s="431" t="str">
        <f>IF(AND('Mapa final'!$H$29="Muy Baja",'Mapa final'!$L$29="Mayor"),CONCATENATE("R",'Mapa final'!$A$29),"")</f>
        <v/>
      </c>
      <c r="AE42" s="431"/>
      <c r="AF42" s="431" t="str">
        <f>IF(AND('Mapa final'!$H$30="Muy Baja",'Mapa final'!$L$30="Mayor"),CONCATENATE("R",'Mapa final'!$A$30),"")</f>
        <v/>
      </c>
      <c r="AG42" s="432"/>
      <c r="AH42" s="442" t="e">
        <f>IF(AND('Mapa final'!#REF!="Muy Baja",'Mapa final'!#REF!="Catastrófico"),CONCATENATE("R",'Mapa final'!#REF!),"")</f>
        <v>#REF!</v>
      </c>
      <c r="AI42" s="443"/>
      <c r="AJ42" s="443" t="str">
        <f>IF(AND('Mapa final'!$H$29="Muy Baja",'Mapa final'!$L$29="Catastrófico"),CONCATENATE("R",'Mapa final'!$A$29),"")</f>
        <v/>
      </c>
      <c r="AK42" s="443"/>
      <c r="AL42" s="443" t="str">
        <f>IF(AND('Mapa final'!$H$30="Muy Baja",'Mapa final'!$L$30="Catastrófico"),CONCATENATE("R",'Mapa final'!$A$30),"")</f>
        <v/>
      </c>
      <c r="AM42" s="44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84"/>
      <c r="C43" s="384"/>
      <c r="D43" s="385"/>
      <c r="E43" s="425"/>
      <c r="F43" s="426"/>
      <c r="G43" s="426"/>
      <c r="H43" s="426"/>
      <c r="I43" s="427"/>
      <c r="J43" s="462"/>
      <c r="K43" s="460"/>
      <c r="L43" s="460"/>
      <c r="M43" s="460"/>
      <c r="N43" s="460"/>
      <c r="O43" s="461"/>
      <c r="P43" s="462"/>
      <c r="Q43" s="460"/>
      <c r="R43" s="460"/>
      <c r="S43" s="460"/>
      <c r="T43" s="460"/>
      <c r="U43" s="461"/>
      <c r="V43" s="451"/>
      <c r="W43" s="452"/>
      <c r="X43" s="452"/>
      <c r="Y43" s="452"/>
      <c r="Z43" s="452"/>
      <c r="AA43" s="453"/>
      <c r="AB43" s="435"/>
      <c r="AC43" s="431"/>
      <c r="AD43" s="431"/>
      <c r="AE43" s="431"/>
      <c r="AF43" s="431"/>
      <c r="AG43" s="432"/>
      <c r="AH43" s="442"/>
      <c r="AI43" s="443"/>
      <c r="AJ43" s="443"/>
      <c r="AK43" s="443"/>
      <c r="AL43" s="443"/>
      <c r="AM43" s="44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84"/>
      <c r="C44" s="384"/>
      <c r="D44" s="385"/>
      <c r="E44" s="425"/>
      <c r="F44" s="426"/>
      <c r="G44" s="426"/>
      <c r="H44" s="426"/>
      <c r="I44" s="427"/>
      <c r="J44" s="462" t="str">
        <f>IF(AND('Mapa final'!$H$36="Muy Baja",'Mapa final'!$L$36="Leve"),CONCATENATE("R",'Mapa final'!$A$36),"")</f>
        <v/>
      </c>
      <c r="K44" s="460"/>
      <c r="L44" s="460" t="str">
        <f>IF(AND('Mapa final'!$H$42="Muy Baja",'Mapa final'!$L$42="Leve"),CONCATENATE("R",'Mapa final'!$A$42),"")</f>
        <v/>
      </c>
      <c r="M44" s="460"/>
      <c r="N44" s="460" t="str">
        <f>IF(AND('Mapa final'!$H$48="Muy Baja",'Mapa final'!$L$48="Leve"),CONCATENATE("R",'Mapa final'!$A$48),"")</f>
        <v/>
      </c>
      <c r="O44" s="461"/>
      <c r="P44" s="462" t="str">
        <f>IF(AND('Mapa final'!$H$36="Muy Baja",'Mapa final'!$L$36="Menor"),CONCATENATE("R",'Mapa final'!$A$36),"")</f>
        <v/>
      </c>
      <c r="Q44" s="460"/>
      <c r="R44" s="460" t="str">
        <f>IF(AND('Mapa final'!$H$42="Muy Baja",'Mapa final'!$L$42="Menor"),CONCATENATE("R",'Mapa final'!$A$42),"")</f>
        <v/>
      </c>
      <c r="S44" s="460"/>
      <c r="T44" s="460" t="str">
        <f>IF(AND('Mapa final'!$H$48="Muy Baja",'Mapa final'!$L$48="Menor"),CONCATENATE("R",'Mapa final'!$A$48),"")</f>
        <v/>
      </c>
      <c r="U44" s="461"/>
      <c r="V44" s="451" t="str">
        <f>IF(AND('Mapa final'!$H$36="Muy Baja",'Mapa final'!$L$36="Moderado"),CONCATENATE("R",'Mapa final'!$A$36),"")</f>
        <v/>
      </c>
      <c r="W44" s="452"/>
      <c r="X44" s="452" t="str">
        <f>IF(AND('Mapa final'!$H$42="Muy Baja",'Mapa final'!$L$42="Moderado"),CONCATENATE("R",'Mapa final'!$A$42),"")</f>
        <v/>
      </c>
      <c r="Y44" s="452"/>
      <c r="Z44" s="452" t="str">
        <f>IF(AND('Mapa final'!$H$48="Muy Baja",'Mapa final'!$L$48="Moderado"),CONCATENATE("R",'Mapa final'!$A$48),"")</f>
        <v/>
      </c>
      <c r="AA44" s="453"/>
      <c r="AB44" s="435" t="str">
        <f>IF(AND('Mapa final'!$H$36="Muy Baja",'Mapa final'!$L$36="Mayor"),CONCATENATE("R",'Mapa final'!$A$36),"")</f>
        <v/>
      </c>
      <c r="AC44" s="431"/>
      <c r="AD44" s="431" t="str">
        <f>IF(AND('Mapa final'!$H$42="Muy Baja",'Mapa final'!$L$42="Mayor"),CONCATENATE("R",'Mapa final'!$A$42),"")</f>
        <v/>
      </c>
      <c r="AE44" s="431"/>
      <c r="AF44" s="431" t="str">
        <f>IF(AND('Mapa final'!$H$48="Muy Baja",'Mapa final'!$L$48="Mayor"),CONCATENATE("R",'Mapa final'!$A$48),"")</f>
        <v/>
      </c>
      <c r="AG44" s="432"/>
      <c r="AH44" s="442" t="str">
        <f>IF(AND('Mapa final'!$H$36="Muy Baja",'Mapa final'!$L$36="Catastrófico"),CONCATENATE("R",'Mapa final'!$A$36),"")</f>
        <v/>
      </c>
      <c r="AI44" s="443"/>
      <c r="AJ44" s="443" t="str">
        <f>IF(AND('Mapa final'!$H$42="Muy Baja",'Mapa final'!$L$42="Catastrófico"),CONCATENATE("R",'Mapa final'!$A$42),"")</f>
        <v/>
      </c>
      <c r="AK44" s="443"/>
      <c r="AL44" s="443" t="str">
        <f>IF(AND('Mapa final'!$H$48="Muy Baja",'Mapa final'!$L$48="Catastrófico"),CONCATENATE("R",'Mapa final'!$A$48),"")</f>
        <v/>
      </c>
      <c r="AM44" s="44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384"/>
      <c r="C45" s="384"/>
      <c r="D45" s="385"/>
      <c r="E45" s="428"/>
      <c r="F45" s="429"/>
      <c r="G45" s="429"/>
      <c r="H45" s="429"/>
      <c r="I45" s="430"/>
      <c r="J45" s="463"/>
      <c r="K45" s="464"/>
      <c r="L45" s="464"/>
      <c r="M45" s="464"/>
      <c r="N45" s="464"/>
      <c r="O45" s="465"/>
      <c r="P45" s="463"/>
      <c r="Q45" s="464"/>
      <c r="R45" s="464"/>
      <c r="S45" s="464"/>
      <c r="T45" s="464"/>
      <c r="U45" s="465"/>
      <c r="V45" s="454"/>
      <c r="W45" s="455"/>
      <c r="X45" s="455"/>
      <c r="Y45" s="455"/>
      <c r="Z45" s="455"/>
      <c r="AA45" s="456"/>
      <c r="AB45" s="439"/>
      <c r="AC45" s="440"/>
      <c r="AD45" s="440"/>
      <c r="AE45" s="440"/>
      <c r="AF45" s="440"/>
      <c r="AG45" s="441"/>
      <c r="AH45" s="445"/>
      <c r="AI45" s="446"/>
      <c r="AJ45" s="446"/>
      <c r="AK45" s="446"/>
      <c r="AL45" s="446"/>
      <c r="AM45" s="44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22" t="s">
        <v>101</v>
      </c>
      <c r="K46" s="423"/>
      <c r="L46" s="423"/>
      <c r="M46" s="423"/>
      <c r="N46" s="423"/>
      <c r="O46" s="424"/>
      <c r="P46" s="422" t="s">
        <v>102</v>
      </c>
      <c r="Q46" s="423"/>
      <c r="R46" s="423"/>
      <c r="S46" s="423"/>
      <c r="T46" s="423"/>
      <c r="U46" s="424"/>
      <c r="V46" s="422" t="s">
        <v>103</v>
      </c>
      <c r="W46" s="423"/>
      <c r="X46" s="423"/>
      <c r="Y46" s="423"/>
      <c r="Z46" s="423"/>
      <c r="AA46" s="424"/>
      <c r="AB46" s="422" t="s">
        <v>104</v>
      </c>
      <c r="AC46" s="438"/>
      <c r="AD46" s="423"/>
      <c r="AE46" s="423"/>
      <c r="AF46" s="423"/>
      <c r="AG46" s="424"/>
      <c r="AH46" s="422" t="s">
        <v>105</v>
      </c>
      <c r="AI46" s="423"/>
      <c r="AJ46" s="423"/>
      <c r="AK46" s="423"/>
      <c r="AL46" s="423"/>
      <c r="AM46" s="424"/>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25"/>
      <c r="K47" s="426"/>
      <c r="L47" s="426"/>
      <c r="M47" s="426"/>
      <c r="N47" s="426"/>
      <c r="O47" s="427"/>
      <c r="P47" s="425"/>
      <c r="Q47" s="426"/>
      <c r="R47" s="426"/>
      <c r="S47" s="426"/>
      <c r="T47" s="426"/>
      <c r="U47" s="427"/>
      <c r="V47" s="425"/>
      <c r="W47" s="426"/>
      <c r="X47" s="426"/>
      <c r="Y47" s="426"/>
      <c r="Z47" s="426"/>
      <c r="AA47" s="427"/>
      <c r="AB47" s="425"/>
      <c r="AC47" s="426"/>
      <c r="AD47" s="426"/>
      <c r="AE47" s="426"/>
      <c r="AF47" s="426"/>
      <c r="AG47" s="427"/>
      <c r="AH47" s="425"/>
      <c r="AI47" s="426"/>
      <c r="AJ47" s="426"/>
      <c r="AK47" s="426"/>
      <c r="AL47" s="426"/>
      <c r="AM47" s="427"/>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25"/>
      <c r="K48" s="426"/>
      <c r="L48" s="426"/>
      <c r="M48" s="426"/>
      <c r="N48" s="426"/>
      <c r="O48" s="427"/>
      <c r="P48" s="425"/>
      <c r="Q48" s="426"/>
      <c r="R48" s="426"/>
      <c r="S48" s="426"/>
      <c r="T48" s="426"/>
      <c r="U48" s="427"/>
      <c r="V48" s="425"/>
      <c r="W48" s="426"/>
      <c r="X48" s="426"/>
      <c r="Y48" s="426"/>
      <c r="Z48" s="426"/>
      <c r="AA48" s="427"/>
      <c r="AB48" s="425"/>
      <c r="AC48" s="426"/>
      <c r="AD48" s="426"/>
      <c r="AE48" s="426"/>
      <c r="AF48" s="426"/>
      <c r="AG48" s="427"/>
      <c r="AH48" s="425"/>
      <c r="AI48" s="426"/>
      <c r="AJ48" s="426"/>
      <c r="AK48" s="426"/>
      <c r="AL48" s="426"/>
      <c r="AM48" s="427"/>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25"/>
      <c r="K49" s="426"/>
      <c r="L49" s="426"/>
      <c r="M49" s="426"/>
      <c r="N49" s="426"/>
      <c r="O49" s="427"/>
      <c r="P49" s="425"/>
      <c r="Q49" s="426"/>
      <c r="R49" s="426"/>
      <c r="S49" s="426"/>
      <c r="T49" s="426"/>
      <c r="U49" s="427"/>
      <c r="V49" s="425"/>
      <c r="W49" s="426"/>
      <c r="X49" s="426"/>
      <c r="Y49" s="426"/>
      <c r="Z49" s="426"/>
      <c r="AA49" s="427"/>
      <c r="AB49" s="425"/>
      <c r="AC49" s="426"/>
      <c r="AD49" s="426"/>
      <c r="AE49" s="426"/>
      <c r="AF49" s="426"/>
      <c r="AG49" s="427"/>
      <c r="AH49" s="425"/>
      <c r="AI49" s="426"/>
      <c r="AJ49" s="426"/>
      <c r="AK49" s="426"/>
      <c r="AL49" s="426"/>
      <c r="AM49" s="427"/>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25"/>
      <c r="K50" s="426"/>
      <c r="L50" s="426"/>
      <c r="M50" s="426"/>
      <c r="N50" s="426"/>
      <c r="O50" s="427"/>
      <c r="P50" s="425"/>
      <c r="Q50" s="426"/>
      <c r="R50" s="426"/>
      <c r="S50" s="426"/>
      <c r="T50" s="426"/>
      <c r="U50" s="427"/>
      <c r="V50" s="425"/>
      <c r="W50" s="426"/>
      <c r="X50" s="426"/>
      <c r="Y50" s="426"/>
      <c r="Z50" s="426"/>
      <c r="AA50" s="427"/>
      <c r="AB50" s="425"/>
      <c r="AC50" s="426"/>
      <c r="AD50" s="426"/>
      <c r="AE50" s="426"/>
      <c r="AF50" s="426"/>
      <c r="AG50" s="427"/>
      <c r="AH50" s="425"/>
      <c r="AI50" s="426"/>
      <c r="AJ50" s="426"/>
      <c r="AK50" s="426"/>
      <c r="AL50" s="426"/>
      <c r="AM50" s="427"/>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28"/>
      <c r="K51" s="429"/>
      <c r="L51" s="429"/>
      <c r="M51" s="429"/>
      <c r="N51" s="429"/>
      <c r="O51" s="430"/>
      <c r="P51" s="428"/>
      <c r="Q51" s="429"/>
      <c r="R51" s="429"/>
      <c r="S51" s="429"/>
      <c r="T51" s="429"/>
      <c r="U51" s="430"/>
      <c r="V51" s="428"/>
      <c r="W51" s="429"/>
      <c r="X51" s="429"/>
      <c r="Y51" s="429"/>
      <c r="Z51" s="429"/>
      <c r="AA51" s="430"/>
      <c r="AB51" s="428"/>
      <c r="AC51" s="429"/>
      <c r="AD51" s="429"/>
      <c r="AE51" s="429"/>
      <c r="AF51" s="429"/>
      <c r="AG51" s="430"/>
      <c r="AH51" s="428"/>
      <c r="AI51" s="429"/>
      <c r="AJ51" s="429"/>
      <c r="AK51" s="429"/>
      <c r="AL51" s="429"/>
      <c r="AM51" s="430"/>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ColWidth="11.42578125" defaultRowHeight="15" x14ac:dyDescent="0.25"/>
  <cols>
    <col min="2" max="18" width="5.5703125" customWidth="1"/>
    <col min="19" max="19" width="8.42578125" customWidth="1"/>
    <col min="20" max="23" width="5.5703125" customWidth="1"/>
    <col min="24" max="24" width="8.42578125" customWidth="1"/>
    <col min="25" max="26" width="5.5703125" customWidth="1"/>
    <col min="27" max="27" width="10.5703125" customWidth="1"/>
    <col min="28" max="28" width="5.5703125" customWidth="1"/>
    <col min="29" max="29" width="7.42578125" customWidth="1"/>
    <col min="30" max="33" width="5.5703125" customWidth="1"/>
    <col min="34" max="34" width="8.42578125" customWidth="1"/>
    <col min="35" max="39" width="5.5703125" customWidth="1"/>
    <col min="41" max="46" width="5.570312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495" t="s">
        <v>106</v>
      </c>
      <c r="C2" s="496"/>
      <c r="D2" s="496"/>
      <c r="E2" s="496"/>
      <c r="F2" s="496"/>
      <c r="G2" s="496"/>
      <c r="H2" s="496"/>
      <c r="I2" s="496"/>
      <c r="J2" s="437" t="s">
        <v>13</v>
      </c>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496"/>
      <c r="C3" s="496"/>
      <c r="D3" s="496"/>
      <c r="E3" s="496"/>
      <c r="F3" s="496"/>
      <c r="G3" s="496"/>
      <c r="H3" s="496"/>
      <c r="I3" s="496"/>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496"/>
      <c r="C4" s="496"/>
      <c r="D4" s="496"/>
      <c r="E4" s="496"/>
      <c r="F4" s="496"/>
      <c r="G4" s="496"/>
      <c r="H4" s="496"/>
      <c r="I4" s="496"/>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384" t="s">
        <v>91</v>
      </c>
      <c r="C6" s="384"/>
      <c r="D6" s="385"/>
      <c r="E6" s="479" t="s">
        <v>92</v>
      </c>
      <c r="F6" s="480"/>
      <c r="G6" s="480"/>
      <c r="H6" s="480"/>
      <c r="I6" s="497"/>
      <c r="J6" s="46" t="str">
        <f>IF(AND('Mapa final'!$Y$25="Muy Alta",'Mapa final'!$AA$25="Leve"),CONCATENATE("R1C",'Mapa final'!$O$25),"")</f>
        <v/>
      </c>
      <c r="K6" s="47" t="e">
        <f>IF(AND('Mapa final'!#REF!="Muy Alta",'Mapa final'!#REF!="Leve"),CONCATENATE("R1C",'Mapa final'!#REF!),"")</f>
        <v>#REF!</v>
      </c>
      <c r="L6" s="47" t="e">
        <f>IF(AND('Mapa final'!#REF!="Muy Alta",'Mapa final'!#REF!="Leve"),CONCATENATE("R1C",'Mapa final'!#REF!),"")</f>
        <v>#REF!</v>
      </c>
      <c r="M6" s="47" t="e">
        <f>IF(AND('Mapa final'!#REF!="Muy Alta",'Mapa final'!#REF!="Leve"),CONCATENATE("R1C",'Mapa final'!#REF!),"")</f>
        <v>#REF!</v>
      </c>
      <c r="N6" s="47" t="e">
        <f>IF(AND('Mapa final'!#REF!="Muy Alta",'Mapa final'!#REF!="Leve"),CONCATENATE("R1C",'Mapa final'!#REF!),"")</f>
        <v>#REF!</v>
      </c>
      <c r="O6" s="48" t="e">
        <f>IF(AND('Mapa final'!#REF!="Muy Alta",'Mapa final'!#REF!="Leve"),CONCATENATE("R1C",'Mapa final'!#REF!),"")</f>
        <v>#REF!</v>
      </c>
      <c r="P6" s="46" t="str">
        <f>IF(AND('Mapa final'!$Y$25="Muy Alta",'Mapa final'!$AA$25="Menor"),CONCATENATE("R1C",'Mapa final'!$O$25),"")</f>
        <v/>
      </c>
      <c r="Q6" s="47" t="e">
        <f>IF(AND('Mapa final'!#REF!="Muy Alta",'Mapa final'!#REF!="Menor"),CONCATENATE("R1C",'Mapa final'!#REF!),"")</f>
        <v>#REF!</v>
      </c>
      <c r="R6" s="47" t="e">
        <f>IF(AND('Mapa final'!#REF!="Muy Alta",'Mapa final'!#REF!="Menor"),CONCATENATE("R1C",'Mapa final'!#REF!),"")</f>
        <v>#REF!</v>
      </c>
      <c r="S6" s="47" t="e">
        <f>IF(AND('Mapa final'!#REF!="Muy Alta",'Mapa final'!#REF!="Menor"),CONCATENATE("R1C",'Mapa final'!#REF!),"")</f>
        <v>#REF!</v>
      </c>
      <c r="T6" s="47" t="e">
        <f>IF(AND('Mapa final'!#REF!="Muy Alta",'Mapa final'!#REF!="Menor"),CONCATENATE("R1C",'Mapa final'!#REF!),"")</f>
        <v>#REF!</v>
      </c>
      <c r="U6" s="48" t="e">
        <f>IF(AND('Mapa final'!#REF!="Muy Alta",'Mapa final'!#REF!="Menor"),CONCATENATE("R1C",'Mapa final'!#REF!),"")</f>
        <v>#REF!</v>
      </c>
      <c r="V6" s="46" t="str">
        <f>IF(AND('Mapa final'!$Y$25="Muy Alta",'Mapa final'!$AA$25="Moderado"),CONCATENATE("R1C",'Mapa final'!$O$25),"")</f>
        <v/>
      </c>
      <c r="W6" s="47" t="e">
        <f>IF(AND('Mapa final'!#REF!="Muy Alta",'Mapa final'!#REF!="Moderado"),CONCATENATE("R1C",'Mapa final'!#REF!),"")</f>
        <v>#REF!</v>
      </c>
      <c r="X6" s="47" t="e">
        <f>IF(AND('Mapa final'!#REF!="Muy Alta",'Mapa final'!#REF!="Moderado"),CONCATENATE("R1C",'Mapa final'!#REF!),"")</f>
        <v>#REF!</v>
      </c>
      <c r="Y6" s="47" t="e">
        <f>IF(AND('Mapa final'!#REF!="Muy Alta",'Mapa final'!#REF!="Moderado"),CONCATENATE("R1C",'Mapa final'!#REF!),"")</f>
        <v>#REF!</v>
      </c>
      <c r="Z6" s="47" t="e">
        <f>IF(AND('Mapa final'!#REF!="Muy Alta",'Mapa final'!#REF!="Moderado"),CONCATENATE("R1C",'Mapa final'!#REF!),"")</f>
        <v>#REF!</v>
      </c>
      <c r="AA6" s="48" t="e">
        <f>IF(AND('Mapa final'!#REF!="Muy Alta",'Mapa final'!#REF!="Moderado"),CONCATENATE("R1C",'Mapa final'!#REF!),"")</f>
        <v>#REF!</v>
      </c>
      <c r="AB6" s="46" t="str">
        <f>IF(AND('Mapa final'!$Y$25="Muy Alta",'Mapa final'!$AA$25="Mayor"),CONCATENATE("R1C",'Mapa final'!$O$25),"")</f>
        <v/>
      </c>
      <c r="AC6" s="47" t="e">
        <f>IF(AND('Mapa final'!#REF!="Muy Alta",'Mapa final'!#REF!="Mayor"),CONCATENATE("R1C",'Mapa final'!#REF!),"")</f>
        <v>#REF!</v>
      </c>
      <c r="AD6" s="47" t="e">
        <f>IF(AND('Mapa final'!#REF!="Muy Alta",'Mapa final'!#REF!="Mayor"),CONCATENATE("R1C",'Mapa final'!#REF!),"")</f>
        <v>#REF!</v>
      </c>
      <c r="AE6" s="47" t="e">
        <f>IF(AND('Mapa final'!#REF!="Muy Alta",'Mapa final'!#REF!="Mayor"),CONCATENATE("R1C",'Mapa final'!#REF!),"")</f>
        <v>#REF!</v>
      </c>
      <c r="AF6" s="47" t="e">
        <f>IF(AND('Mapa final'!#REF!="Muy Alta",'Mapa final'!#REF!="Mayor"),CONCATENATE("R1C",'Mapa final'!#REF!),"")</f>
        <v>#REF!</v>
      </c>
      <c r="AG6" s="48" t="e">
        <f>IF(AND('Mapa final'!#REF!="Muy Alta",'Mapa final'!#REF!="Mayor"),CONCATENATE("R1C",'Mapa final'!#REF!),"")</f>
        <v>#REF!</v>
      </c>
      <c r="AH6" s="49" t="str">
        <f>IF(AND('Mapa final'!$Y$25="Muy Alta",'Mapa final'!$AA$25="Catastrófico"),CONCATENATE("R1C",'Mapa final'!$O$25),"")</f>
        <v/>
      </c>
      <c r="AI6" s="50" t="e">
        <f>IF(AND('Mapa final'!#REF!="Muy Alta",'Mapa final'!#REF!="Catastrófico"),CONCATENATE("R1C",'Mapa final'!#REF!),"")</f>
        <v>#REF!</v>
      </c>
      <c r="AJ6" s="50" t="e">
        <f>IF(AND('Mapa final'!#REF!="Muy Alta",'Mapa final'!#REF!="Catastrófico"),CONCATENATE("R1C",'Mapa final'!#REF!),"")</f>
        <v>#REF!</v>
      </c>
      <c r="AK6" s="50" t="e">
        <f>IF(AND('Mapa final'!#REF!="Muy Alta",'Mapa final'!#REF!="Catastrófico"),CONCATENATE("R1C",'Mapa final'!#REF!),"")</f>
        <v>#REF!</v>
      </c>
      <c r="AL6" s="50" t="e">
        <f>IF(AND('Mapa final'!#REF!="Muy Alta",'Mapa final'!#REF!="Catastrófico"),CONCATENATE("R1C",'Mapa final'!#REF!),"")</f>
        <v>#REF!</v>
      </c>
      <c r="AM6" s="51" t="e">
        <f>IF(AND('Mapa final'!#REF!="Muy Alta",'Mapa final'!#REF!="Catastrófico"),CONCATENATE("R1C",'Mapa final'!#REF!),"")</f>
        <v>#REF!</v>
      </c>
      <c r="AN6" s="83"/>
      <c r="AO6" s="486" t="s">
        <v>93</v>
      </c>
      <c r="AP6" s="487"/>
      <c r="AQ6" s="487"/>
      <c r="AR6" s="487"/>
      <c r="AS6" s="487"/>
      <c r="AT6" s="48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384"/>
      <c r="C7" s="384"/>
      <c r="D7" s="385"/>
      <c r="E7" s="483"/>
      <c r="F7" s="482"/>
      <c r="G7" s="482"/>
      <c r="H7" s="482"/>
      <c r="I7" s="498"/>
      <c r="J7" s="52" t="str">
        <f>IF(AND('Mapa final'!$Y$26="Muy Alta",'Mapa final'!$AA$26="Leve"),CONCATENATE("R2C",'Mapa final'!$O$26),"")</f>
        <v/>
      </c>
      <c r="K7" s="53" t="str">
        <f>IF(AND('Mapa final'!$Y$27="Muy Alta",'Mapa final'!$AA$27="Leve"),CONCATENATE("R2C",'Mapa final'!$O$27),"")</f>
        <v/>
      </c>
      <c r="L7" s="53" t="e">
        <f>IF(AND('Mapa final'!#REF!="Muy Alta",'Mapa final'!#REF!="Leve"),CONCATENATE("R2C",'Mapa final'!#REF!),"")</f>
        <v>#REF!</v>
      </c>
      <c r="M7" s="53" t="e">
        <f>IF(AND('Mapa final'!#REF!="Muy Alta",'Mapa final'!#REF!="Leve"),CONCATENATE("R2C",'Mapa final'!#REF!),"")</f>
        <v>#REF!</v>
      </c>
      <c r="N7" s="53" t="e">
        <f>IF(AND('Mapa final'!#REF!="Muy Alta",'Mapa final'!#REF!="Leve"),CONCATENATE("R2C",'Mapa final'!#REF!),"")</f>
        <v>#REF!</v>
      </c>
      <c r="O7" s="54" t="e">
        <f>IF(AND('Mapa final'!#REF!="Muy Alta",'Mapa final'!#REF!="Leve"),CONCATENATE("R2C",'Mapa final'!#REF!),"")</f>
        <v>#REF!</v>
      </c>
      <c r="P7" s="52" t="str">
        <f>IF(AND('Mapa final'!$Y$26="Muy Alta",'Mapa final'!$AA$26="Menor"),CONCATENATE("R2C",'Mapa final'!$O$26),"")</f>
        <v/>
      </c>
      <c r="Q7" s="53" t="str">
        <f>IF(AND('Mapa final'!$Y$27="Muy Alta",'Mapa final'!$AA$27="Menor"),CONCATENATE("R2C",'Mapa final'!$O$27),"")</f>
        <v/>
      </c>
      <c r="R7" s="53" t="e">
        <f>IF(AND('Mapa final'!#REF!="Muy Alta",'Mapa final'!#REF!="Menor"),CONCATENATE("R2C",'Mapa final'!#REF!),"")</f>
        <v>#REF!</v>
      </c>
      <c r="S7" s="53" t="e">
        <f>IF(AND('Mapa final'!#REF!="Muy Alta",'Mapa final'!#REF!="Menor"),CONCATENATE("R2C",'Mapa final'!#REF!),"")</f>
        <v>#REF!</v>
      </c>
      <c r="T7" s="53" t="e">
        <f>IF(AND('Mapa final'!#REF!="Muy Alta",'Mapa final'!#REF!="Menor"),CONCATENATE("R2C",'Mapa final'!#REF!),"")</f>
        <v>#REF!</v>
      </c>
      <c r="U7" s="54" t="e">
        <f>IF(AND('Mapa final'!#REF!="Muy Alta",'Mapa final'!#REF!="Menor"),CONCATENATE("R2C",'Mapa final'!#REF!),"")</f>
        <v>#REF!</v>
      </c>
      <c r="V7" s="52" t="str">
        <f>IF(AND('Mapa final'!$Y$26="Muy Alta",'Mapa final'!$AA$26="Moderado"),CONCATENATE("R2C",'Mapa final'!$O$26),"")</f>
        <v/>
      </c>
      <c r="W7" s="53" t="str">
        <f>IF(AND('Mapa final'!$Y$27="Muy Alta",'Mapa final'!$AA$27="Moderado"),CONCATENATE("R2C",'Mapa final'!$O$27),"")</f>
        <v/>
      </c>
      <c r="X7" s="53" t="e">
        <f>IF(AND('Mapa final'!#REF!="Muy Alta",'Mapa final'!#REF!="Moderado"),CONCATENATE("R2C",'Mapa final'!#REF!),"")</f>
        <v>#REF!</v>
      </c>
      <c r="Y7" s="53" t="e">
        <f>IF(AND('Mapa final'!#REF!="Muy Alta",'Mapa final'!#REF!="Moderado"),CONCATENATE("R2C",'Mapa final'!#REF!),"")</f>
        <v>#REF!</v>
      </c>
      <c r="Z7" s="53" t="e">
        <f>IF(AND('Mapa final'!#REF!="Muy Alta",'Mapa final'!#REF!="Moderado"),CONCATENATE("R2C",'Mapa final'!#REF!),"")</f>
        <v>#REF!</v>
      </c>
      <c r="AA7" s="54" t="e">
        <f>IF(AND('Mapa final'!#REF!="Muy Alta",'Mapa final'!#REF!="Moderado"),CONCATENATE("R2C",'Mapa final'!#REF!),"")</f>
        <v>#REF!</v>
      </c>
      <c r="AB7" s="52" t="str">
        <f>IF(AND('Mapa final'!$Y$26="Muy Alta",'Mapa final'!$AA$26="Mayor"),CONCATENATE("R2C",'Mapa final'!$O$26),"")</f>
        <v/>
      </c>
      <c r="AC7" s="53" t="str">
        <f>IF(AND('Mapa final'!$Y$27="Muy Alta",'Mapa final'!$AA$27="Mayor"),CONCATENATE("R2C",'Mapa final'!$O$27),"")</f>
        <v/>
      </c>
      <c r="AD7" s="53" t="e">
        <f>IF(AND('Mapa final'!#REF!="Muy Alta",'Mapa final'!#REF!="Mayor"),CONCATENATE("R2C",'Mapa final'!#REF!),"")</f>
        <v>#REF!</v>
      </c>
      <c r="AE7" s="53" t="e">
        <f>IF(AND('Mapa final'!#REF!="Muy Alta",'Mapa final'!#REF!="Mayor"),CONCATENATE("R2C",'Mapa final'!#REF!),"")</f>
        <v>#REF!</v>
      </c>
      <c r="AF7" s="53" t="e">
        <f>IF(AND('Mapa final'!#REF!="Muy Alta",'Mapa final'!#REF!="Mayor"),CONCATENATE("R2C",'Mapa final'!#REF!),"")</f>
        <v>#REF!</v>
      </c>
      <c r="AG7" s="54" t="e">
        <f>IF(AND('Mapa final'!#REF!="Muy Alta",'Mapa final'!#REF!="Mayor"),CONCATENATE("R2C",'Mapa final'!#REF!),"")</f>
        <v>#REF!</v>
      </c>
      <c r="AH7" s="55" t="str">
        <f>IF(AND('Mapa final'!$Y$26="Muy Alta",'Mapa final'!$AA$26="Catastrófico"),CONCATENATE("R2C",'Mapa final'!$O$26),"")</f>
        <v/>
      </c>
      <c r="AI7" s="56" t="str">
        <f>IF(AND('Mapa final'!$Y$27="Muy Alta",'Mapa final'!$AA$27="Catastrófico"),CONCATENATE("R2C",'Mapa final'!$O$27),"")</f>
        <v/>
      </c>
      <c r="AJ7" s="56" t="e">
        <f>IF(AND('Mapa final'!#REF!="Muy Alta",'Mapa final'!#REF!="Catastrófico"),CONCATENATE("R2C",'Mapa final'!#REF!),"")</f>
        <v>#REF!</v>
      </c>
      <c r="AK7" s="56" t="e">
        <f>IF(AND('Mapa final'!#REF!="Muy Alta",'Mapa final'!#REF!="Catastrófico"),CONCATENATE("R2C",'Mapa final'!#REF!),"")</f>
        <v>#REF!</v>
      </c>
      <c r="AL7" s="56" t="e">
        <f>IF(AND('Mapa final'!#REF!="Muy Alta",'Mapa final'!#REF!="Catastrófico"),CONCATENATE("R2C",'Mapa final'!#REF!),"")</f>
        <v>#REF!</v>
      </c>
      <c r="AM7" s="57" t="e">
        <f>IF(AND('Mapa final'!#REF!="Muy Alta",'Mapa final'!#REF!="Catastrófico"),CONCATENATE("R2C",'Mapa final'!#REF!),"")</f>
        <v>#REF!</v>
      </c>
      <c r="AN7" s="83"/>
      <c r="AO7" s="489"/>
      <c r="AP7" s="490"/>
      <c r="AQ7" s="490"/>
      <c r="AR7" s="490"/>
      <c r="AS7" s="490"/>
      <c r="AT7" s="49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384"/>
      <c r="C8" s="384"/>
      <c r="D8" s="385"/>
      <c r="E8" s="483"/>
      <c r="F8" s="482"/>
      <c r="G8" s="482"/>
      <c r="H8" s="482"/>
      <c r="I8" s="498"/>
      <c r="J8" s="52" t="str">
        <f>IF(AND('Mapa final'!$Y$28="Muy Alta",'Mapa final'!$AA$28="Leve"),CONCATENATE("R3C",'Mapa final'!$O$28),"")</f>
        <v/>
      </c>
      <c r="K8" s="53" t="e">
        <f>IF(AND('Mapa final'!#REF!="Muy Alta",'Mapa final'!#REF!="Leve"),CONCATENATE("R3C",'Mapa final'!#REF!),"")</f>
        <v>#REF!</v>
      </c>
      <c r="L8" s="53" t="e">
        <f>IF(AND('Mapa final'!#REF!="Muy Alta",'Mapa final'!#REF!="Leve"),CONCATENATE("R3C",'Mapa final'!#REF!),"")</f>
        <v>#REF!</v>
      </c>
      <c r="M8" s="53" t="e">
        <f>IF(AND('Mapa final'!#REF!="Muy Alta",'Mapa final'!#REF!="Leve"),CONCATENATE("R3C",'Mapa final'!#REF!),"")</f>
        <v>#REF!</v>
      </c>
      <c r="N8" s="53" t="e">
        <f>IF(AND('Mapa final'!#REF!="Muy Alta",'Mapa final'!#REF!="Leve"),CONCATENATE("R3C",'Mapa final'!#REF!),"")</f>
        <v>#REF!</v>
      </c>
      <c r="O8" s="54" t="e">
        <f>IF(AND('Mapa final'!#REF!="Muy Alta",'Mapa final'!#REF!="Leve"),CONCATENATE("R3C",'Mapa final'!#REF!),"")</f>
        <v>#REF!</v>
      </c>
      <c r="P8" s="52" t="str">
        <f>IF(AND('Mapa final'!$Y$28="Muy Alta",'Mapa final'!$AA$28="Menor"),CONCATENATE("R3C",'Mapa final'!$O$28),"")</f>
        <v/>
      </c>
      <c r="Q8" s="53" t="e">
        <f>IF(AND('Mapa final'!#REF!="Muy Alta",'Mapa final'!#REF!="Menor"),CONCATENATE("R3C",'Mapa final'!#REF!),"")</f>
        <v>#REF!</v>
      </c>
      <c r="R8" s="53" t="e">
        <f>IF(AND('Mapa final'!#REF!="Muy Alta",'Mapa final'!#REF!="Menor"),CONCATENATE("R3C",'Mapa final'!#REF!),"")</f>
        <v>#REF!</v>
      </c>
      <c r="S8" s="53" t="e">
        <f>IF(AND('Mapa final'!#REF!="Muy Alta",'Mapa final'!#REF!="Menor"),CONCATENATE("R3C",'Mapa final'!#REF!),"")</f>
        <v>#REF!</v>
      </c>
      <c r="T8" s="53" t="e">
        <f>IF(AND('Mapa final'!#REF!="Muy Alta",'Mapa final'!#REF!="Menor"),CONCATENATE("R3C",'Mapa final'!#REF!),"")</f>
        <v>#REF!</v>
      </c>
      <c r="U8" s="54" t="e">
        <f>IF(AND('Mapa final'!#REF!="Muy Alta",'Mapa final'!#REF!="Menor"),CONCATENATE("R3C",'Mapa final'!#REF!),"")</f>
        <v>#REF!</v>
      </c>
      <c r="V8" s="52" t="str">
        <f>IF(AND('Mapa final'!$Y$28="Muy Alta",'Mapa final'!$AA$28="Moderado"),CONCATENATE("R3C",'Mapa final'!$O$28),"")</f>
        <v/>
      </c>
      <c r="W8" s="53" t="e">
        <f>IF(AND('Mapa final'!#REF!="Muy Alta",'Mapa final'!#REF!="Moderado"),CONCATENATE("R3C",'Mapa final'!#REF!),"")</f>
        <v>#REF!</v>
      </c>
      <c r="X8" s="53" t="e">
        <f>IF(AND('Mapa final'!#REF!="Muy Alta",'Mapa final'!#REF!="Moderado"),CONCATENATE("R3C",'Mapa final'!#REF!),"")</f>
        <v>#REF!</v>
      </c>
      <c r="Y8" s="53" t="e">
        <f>IF(AND('Mapa final'!#REF!="Muy Alta",'Mapa final'!#REF!="Moderado"),CONCATENATE("R3C",'Mapa final'!#REF!),"")</f>
        <v>#REF!</v>
      </c>
      <c r="Z8" s="53" t="e">
        <f>IF(AND('Mapa final'!#REF!="Muy Alta",'Mapa final'!#REF!="Moderado"),CONCATENATE("R3C",'Mapa final'!#REF!),"")</f>
        <v>#REF!</v>
      </c>
      <c r="AA8" s="54" t="e">
        <f>IF(AND('Mapa final'!#REF!="Muy Alta",'Mapa final'!#REF!="Moderado"),CONCATENATE("R3C",'Mapa final'!#REF!),"")</f>
        <v>#REF!</v>
      </c>
      <c r="AB8" s="52" t="str">
        <f>IF(AND('Mapa final'!$Y$28="Muy Alta",'Mapa final'!$AA$28="Mayor"),CONCATENATE("R3C",'Mapa final'!$O$28),"")</f>
        <v/>
      </c>
      <c r="AC8" s="53" t="e">
        <f>IF(AND('Mapa final'!#REF!="Muy Alta",'Mapa final'!#REF!="Mayor"),CONCATENATE("R3C",'Mapa final'!#REF!),"")</f>
        <v>#REF!</v>
      </c>
      <c r="AD8" s="53" t="e">
        <f>IF(AND('Mapa final'!#REF!="Muy Alta",'Mapa final'!#REF!="Mayor"),CONCATENATE("R3C",'Mapa final'!#REF!),"")</f>
        <v>#REF!</v>
      </c>
      <c r="AE8" s="53" t="e">
        <f>IF(AND('Mapa final'!#REF!="Muy Alta",'Mapa final'!#REF!="Mayor"),CONCATENATE("R3C",'Mapa final'!#REF!),"")</f>
        <v>#REF!</v>
      </c>
      <c r="AF8" s="53" t="e">
        <f>IF(AND('Mapa final'!#REF!="Muy Alta",'Mapa final'!#REF!="Mayor"),CONCATENATE("R3C",'Mapa final'!#REF!),"")</f>
        <v>#REF!</v>
      </c>
      <c r="AG8" s="54" t="e">
        <f>IF(AND('Mapa final'!#REF!="Muy Alta",'Mapa final'!#REF!="Mayor"),CONCATENATE("R3C",'Mapa final'!#REF!),"")</f>
        <v>#REF!</v>
      </c>
      <c r="AH8" s="55" t="str">
        <f>IF(AND('Mapa final'!$Y$28="Muy Alta",'Mapa final'!$AA$28="Catastrófico"),CONCATENATE("R3C",'Mapa final'!$O$28),"")</f>
        <v/>
      </c>
      <c r="AI8" s="56" t="e">
        <f>IF(AND('Mapa final'!#REF!="Muy Alta",'Mapa final'!#REF!="Catastrófico"),CONCATENATE("R3C",'Mapa final'!#REF!),"")</f>
        <v>#REF!</v>
      </c>
      <c r="AJ8" s="56" t="e">
        <f>IF(AND('Mapa final'!#REF!="Muy Alta",'Mapa final'!#REF!="Catastrófico"),CONCATENATE("R3C",'Mapa final'!#REF!),"")</f>
        <v>#REF!</v>
      </c>
      <c r="AK8" s="56" t="e">
        <f>IF(AND('Mapa final'!#REF!="Muy Alta",'Mapa final'!#REF!="Catastrófico"),CONCATENATE("R3C",'Mapa final'!#REF!),"")</f>
        <v>#REF!</v>
      </c>
      <c r="AL8" s="56" t="e">
        <f>IF(AND('Mapa final'!#REF!="Muy Alta",'Mapa final'!#REF!="Catastrófico"),CONCATENATE("R3C",'Mapa final'!#REF!),"")</f>
        <v>#REF!</v>
      </c>
      <c r="AM8" s="57" t="e">
        <f>IF(AND('Mapa final'!#REF!="Muy Alta",'Mapa final'!#REF!="Catastrófico"),CONCATENATE("R3C",'Mapa final'!#REF!),"")</f>
        <v>#REF!</v>
      </c>
      <c r="AN8" s="83"/>
      <c r="AO8" s="489"/>
      <c r="AP8" s="490"/>
      <c r="AQ8" s="490"/>
      <c r="AR8" s="490"/>
      <c r="AS8" s="490"/>
      <c r="AT8" s="49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384"/>
      <c r="C9" s="384"/>
      <c r="D9" s="385"/>
      <c r="E9" s="483"/>
      <c r="F9" s="482"/>
      <c r="G9" s="482"/>
      <c r="H9" s="482"/>
      <c r="I9" s="498"/>
      <c r="J9" s="52" t="e">
        <f>IF(AND('Mapa final'!#REF!="Muy Alta",'Mapa final'!#REF!="Leve"),CONCATENATE("R4C",'Mapa final'!#REF!),"")</f>
        <v>#REF!</v>
      </c>
      <c r="K9" s="53" t="e">
        <f>IF(AND('Mapa final'!#REF!="Muy Alta",'Mapa final'!#REF!="Leve"),CONCATENATE("R4C",'Mapa final'!#REF!),"")</f>
        <v>#REF!</v>
      </c>
      <c r="L9" s="53" t="e">
        <f>IF(AND('Mapa final'!#REF!="Muy Alta",'Mapa final'!#REF!="Leve"),CONCATENATE("R4C",'Mapa final'!#REF!),"")</f>
        <v>#REF!</v>
      </c>
      <c r="M9" s="53" t="e">
        <f>IF(AND('Mapa final'!#REF!="Muy Alta",'Mapa final'!#REF!="Leve"),CONCATENATE("R4C",'Mapa final'!#REF!),"")</f>
        <v>#REF!</v>
      </c>
      <c r="N9" s="53" t="e">
        <f>IF(AND('Mapa final'!#REF!="Muy Alta",'Mapa final'!#REF!="Leve"),CONCATENATE("R4C",'Mapa final'!#REF!),"")</f>
        <v>#REF!</v>
      </c>
      <c r="O9" s="54" t="e">
        <f>IF(AND('Mapa final'!#REF!="Muy Alta",'Mapa final'!#REF!="Leve"),CONCATENATE("R4C",'Mapa final'!#REF!),"")</f>
        <v>#REF!</v>
      </c>
      <c r="P9" s="52" t="e">
        <f>IF(AND('Mapa final'!#REF!="Muy Alta",'Mapa final'!#REF!="Menor"),CONCATENATE("R4C",'Mapa final'!#REF!),"")</f>
        <v>#REF!</v>
      </c>
      <c r="Q9" s="53" t="e">
        <f>IF(AND('Mapa final'!#REF!="Muy Alta",'Mapa final'!#REF!="Menor"),CONCATENATE("R4C",'Mapa final'!#REF!),"")</f>
        <v>#REF!</v>
      </c>
      <c r="R9" s="53" t="e">
        <f>IF(AND('Mapa final'!#REF!="Muy Alta",'Mapa final'!#REF!="Menor"),CONCATENATE("R4C",'Mapa final'!#REF!),"")</f>
        <v>#REF!</v>
      </c>
      <c r="S9" s="53" t="e">
        <f>IF(AND('Mapa final'!#REF!="Muy Alta",'Mapa final'!#REF!="Menor"),CONCATENATE("R4C",'Mapa final'!#REF!),"")</f>
        <v>#REF!</v>
      </c>
      <c r="T9" s="53" t="e">
        <f>IF(AND('Mapa final'!#REF!="Muy Alta",'Mapa final'!#REF!="Menor"),CONCATENATE("R4C",'Mapa final'!#REF!),"")</f>
        <v>#REF!</v>
      </c>
      <c r="U9" s="54" t="e">
        <f>IF(AND('Mapa final'!#REF!="Muy Alta",'Mapa final'!#REF!="Menor"),CONCATENATE("R4C",'Mapa final'!#REF!),"")</f>
        <v>#REF!</v>
      </c>
      <c r="V9" s="52" t="e">
        <f>IF(AND('Mapa final'!#REF!="Muy Alta",'Mapa final'!#REF!="Moderado"),CONCATENATE("R4C",'Mapa final'!#REF!),"")</f>
        <v>#REF!</v>
      </c>
      <c r="W9" s="53" t="e">
        <f>IF(AND('Mapa final'!#REF!="Muy Alta",'Mapa final'!#REF!="Moderado"),CONCATENATE("R4C",'Mapa final'!#REF!),"")</f>
        <v>#REF!</v>
      </c>
      <c r="X9" s="53" t="e">
        <f>IF(AND('Mapa final'!#REF!="Muy Alta",'Mapa final'!#REF!="Moderado"),CONCATENATE("R4C",'Mapa final'!#REF!),"")</f>
        <v>#REF!</v>
      </c>
      <c r="Y9" s="53" t="e">
        <f>IF(AND('Mapa final'!#REF!="Muy Alta",'Mapa final'!#REF!="Moderado"),CONCATENATE("R4C",'Mapa final'!#REF!),"")</f>
        <v>#REF!</v>
      </c>
      <c r="Z9" s="53" t="e">
        <f>IF(AND('Mapa final'!#REF!="Muy Alta",'Mapa final'!#REF!="Moderado"),CONCATENATE("R4C",'Mapa final'!#REF!),"")</f>
        <v>#REF!</v>
      </c>
      <c r="AA9" s="54" t="e">
        <f>IF(AND('Mapa final'!#REF!="Muy Alta",'Mapa final'!#REF!="Moderado"),CONCATENATE("R4C",'Mapa final'!#REF!),"")</f>
        <v>#REF!</v>
      </c>
      <c r="AB9" s="52" t="e">
        <f>IF(AND('Mapa final'!#REF!="Muy Alta",'Mapa final'!#REF!="Mayor"),CONCATENATE("R4C",'Mapa final'!#REF!),"")</f>
        <v>#REF!</v>
      </c>
      <c r="AC9" s="53" t="e">
        <f>IF(AND('Mapa final'!#REF!="Muy Alta",'Mapa final'!#REF!="Mayor"),CONCATENATE("R4C",'Mapa final'!#REF!),"")</f>
        <v>#REF!</v>
      </c>
      <c r="AD9" s="53" t="e">
        <f>IF(AND('Mapa final'!#REF!="Muy Alta",'Mapa final'!#REF!="Mayor"),CONCATENATE("R4C",'Mapa final'!#REF!),"")</f>
        <v>#REF!</v>
      </c>
      <c r="AE9" s="53" t="e">
        <f>IF(AND('Mapa final'!#REF!="Muy Alta",'Mapa final'!#REF!="Mayor"),CONCATENATE("R4C",'Mapa final'!#REF!),"")</f>
        <v>#REF!</v>
      </c>
      <c r="AF9" s="53" t="e">
        <f>IF(AND('Mapa final'!#REF!="Muy Alta",'Mapa final'!#REF!="Mayor"),CONCATENATE("R4C",'Mapa final'!#REF!),"")</f>
        <v>#REF!</v>
      </c>
      <c r="AG9" s="54" t="e">
        <f>IF(AND('Mapa final'!#REF!="Muy Alta",'Mapa final'!#REF!="Mayor"),CONCATENATE("R4C",'Mapa final'!#REF!),"")</f>
        <v>#REF!</v>
      </c>
      <c r="AH9" s="55" t="e">
        <f>IF(AND('Mapa final'!#REF!="Muy Alta",'Mapa final'!#REF!="Catastrófico"),CONCATENATE("R4C",'Mapa final'!#REF!),"")</f>
        <v>#REF!</v>
      </c>
      <c r="AI9" s="56" t="e">
        <f>IF(AND('Mapa final'!#REF!="Muy Alta",'Mapa final'!#REF!="Catastrófico"),CONCATENATE("R4C",'Mapa final'!#REF!),"")</f>
        <v>#REF!</v>
      </c>
      <c r="AJ9" s="56" t="e">
        <f>IF(AND('Mapa final'!#REF!="Muy Alta",'Mapa final'!#REF!="Catastrófico"),CONCATENATE("R4C",'Mapa final'!#REF!),"")</f>
        <v>#REF!</v>
      </c>
      <c r="AK9" s="56" t="e">
        <f>IF(AND('Mapa final'!#REF!="Muy Alta",'Mapa final'!#REF!="Catastrófico"),CONCATENATE("R4C",'Mapa final'!#REF!),"")</f>
        <v>#REF!</v>
      </c>
      <c r="AL9" s="56" t="e">
        <f>IF(AND('Mapa final'!#REF!="Muy Alta",'Mapa final'!#REF!="Catastrófico"),CONCATENATE("R4C",'Mapa final'!#REF!),"")</f>
        <v>#REF!</v>
      </c>
      <c r="AM9" s="57" t="e">
        <f>IF(AND('Mapa final'!#REF!="Muy Alta",'Mapa final'!#REF!="Catastrófico"),CONCATENATE("R4C",'Mapa final'!#REF!),"")</f>
        <v>#REF!</v>
      </c>
      <c r="AN9" s="83"/>
      <c r="AO9" s="489"/>
      <c r="AP9" s="490"/>
      <c r="AQ9" s="490"/>
      <c r="AR9" s="490"/>
      <c r="AS9" s="490"/>
      <c r="AT9" s="49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384"/>
      <c r="C10" s="384"/>
      <c r="D10" s="385"/>
      <c r="E10" s="483"/>
      <c r="F10" s="482"/>
      <c r="G10" s="482"/>
      <c r="H10" s="482"/>
      <c r="I10" s="498"/>
      <c r="J10" s="52" t="e">
        <f>IF(AND('Mapa final'!#REF!="Muy Alta",'Mapa final'!#REF!="Leve"),CONCATENATE("R5C",'Mapa final'!#REF!),"")</f>
        <v>#REF!</v>
      </c>
      <c r="K10" s="53" t="e">
        <f>IF(AND('Mapa final'!#REF!="Muy Alta",'Mapa final'!#REF!="Leve"),CONCATENATE("R5C",'Mapa final'!#REF!),"")</f>
        <v>#REF!</v>
      </c>
      <c r="L10" s="53" t="e">
        <f>IF(AND('Mapa final'!#REF!="Muy Alta",'Mapa final'!#REF!="Leve"),CONCATENATE("R5C",'Mapa final'!#REF!),"")</f>
        <v>#REF!</v>
      </c>
      <c r="M10" s="53" t="e">
        <f>IF(AND('Mapa final'!#REF!="Muy Alta",'Mapa final'!#REF!="Leve"),CONCATENATE("R5C",'Mapa final'!#REF!),"")</f>
        <v>#REF!</v>
      </c>
      <c r="N10" s="53" t="e">
        <f>IF(AND('Mapa final'!#REF!="Muy Alta",'Mapa final'!#REF!="Leve"),CONCATENATE("R5C",'Mapa final'!#REF!),"")</f>
        <v>#REF!</v>
      </c>
      <c r="O10" s="54" t="e">
        <f>IF(AND('Mapa final'!#REF!="Muy Alta",'Mapa final'!#REF!="Leve"),CONCATENATE("R5C",'Mapa final'!#REF!),"")</f>
        <v>#REF!</v>
      </c>
      <c r="P10" s="52" t="e">
        <f>IF(AND('Mapa final'!#REF!="Muy Alta",'Mapa final'!#REF!="Menor"),CONCATENATE("R5C",'Mapa final'!#REF!),"")</f>
        <v>#REF!</v>
      </c>
      <c r="Q10" s="53" t="e">
        <f>IF(AND('Mapa final'!#REF!="Muy Alta",'Mapa final'!#REF!="Menor"),CONCATENATE("R5C",'Mapa final'!#REF!),"")</f>
        <v>#REF!</v>
      </c>
      <c r="R10" s="53" t="e">
        <f>IF(AND('Mapa final'!#REF!="Muy Alta",'Mapa final'!#REF!="Menor"),CONCATENATE("R5C",'Mapa final'!#REF!),"")</f>
        <v>#REF!</v>
      </c>
      <c r="S10" s="53" t="e">
        <f>IF(AND('Mapa final'!#REF!="Muy Alta",'Mapa final'!#REF!="Menor"),CONCATENATE("R5C",'Mapa final'!#REF!),"")</f>
        <v>#REF!</v>
      </c>
      <c r="T10" s="53" t="e">
        <f>IF(AND('Mapa final'!#REF!="Muy Alta",'Mapa final'!#REF!="Menor"),CONCATENATE("R5C",'Mapa final'!#REF!),"")</f>
        <v>#REF!</v>
      </c>
      <c r="U10" s="54" t="e">
        <f>IF(AND('Mapa final'!#REF!="Muy Alta",'Mapa final'!#REF!="Menor"),CONCATENATE("R5C",'Mapa final'!#REF!),"")</f>
        <v>#REF!</v>
      </c>
      <c r="V10" s="52" t="e">
        <f>IF(AND('Mapa final'!#REF!="Muy Alta",'Mapa final'!#REF!="Moderado"),CONCATENATE("R5C",'Mapa final'!#REF!),"")</f>
        <v>#REF!</v>
      </c>
      <c r="W10" s="53" t="e">
        <f>IF(AND('Mapa final'!#REF!="Muy Alta",'Mapa final'!#REF!="Moderado"),CONCATENATE("R5C",'Mapa final'!#REF!),"")</f>
        <v>#REF!</v>
      </c>
      <c r="X10" s="53" t="e">
        <f>IF(AND('Mapa final'!#REF!="Muy Alta",'Mapa final'!#REF!="Moderado"),CONCATENATE("R5C",'Mapa final'!#REF!),"")</f>
        <v>#REF!</v>
      </c>
      <c r="Y10" s="53" t="e">
        <f>IF(AND('Mapa final'!#REF!="Muy Alta",'Mapa final'!#REF!="Moderado"),CONCATENATE("R5C",'Mapa final'!#REF!),"")</f>
        <v>#REF!</v>
      </c>
      <c r="Z10" s="53" t="e">
        <f>IF(AND('Mapa final'!#REF!="Muy Alta",'Mapa final'!#REF!="Moderado"),CONCATENATE("R5C",'Mapa final'!#REF!),"")</f>
        <v>#REF!</v>
      </c>
      <c r="AA10" s="54" t="e">
        <f>IF(AND('Mapa final'!#REF!="Muy Alta",'Mapa final'!#REF!="Moderado"),CONCATENATE("R5C",'Mapa final'!#REF!),"")</f>
        <v>#REF!</v>
      </c>
      <c r="AB10" s="52" t="e">
        <f>IF(AND('Mapa final'!#REF!="Muy Alta",'Mapa final'!#REF!="Mayor"),CONCATENATE("R5C",'Mapa final'!#REF!),"")</f>
        <v>#REF!</v>
      </c>
      <c r="AC10" s="53" t="e">
        <f>IF(AND('Mapa final'!#REF!="Muy Alta",'Mapa final'!#REF!="Mayor"),CONCATENATE("R5C",'Mapa final'!#REF!),"")</f>
        <v>#REF!</v>
      </c>
      <c r="AD10" s="53" t="e">
        <f>IF(AND('Mapa final'!#REF!="Muy Alta",'Mapa final'!#REF!="Mayor"),CONCATENATE("R5C",'Mapa final'!#REF!),"")</f>
        <v>#REF!</v>
      </c>
      <c r="AE10" s="53" t="e">
        <f>IF(AND('Mapa final'!#REF!="Muy Alta",'Mapa final'!#REF!="Mayor"),CONCATENATE("R5C",'Mapa final'!#REF!),"")</f>
        <v>#REF!</v>
      </c>
      <c r="AF10" s="53" t="e">
        <f>IF(AND('Mapa final'!#REF!="Muy Alta",'Mapa final'!#REF!="Mayor"),CONCATENATE("R5C",'Mapa final'!#REF!),"")</f>
        <v>#REF!</v>
      </c>
      <c r="AG10" s="54" t="e">
        <f>IF(AND('Mapa final'!#REF!="Muy Alta",'Mapa final'!#REF!="Mayor"),CONCATENATE("R5C",'Mapa final'!#REF!),"")</f>
        <v>#REF!</v>
      </c>
      <c r="AH10" s="55" t="e">
        <f>IF(AND('Mapa final'!#REF!="Muy Alta",'Mapa final'!#REF!="Catastrófico"),CONCATENATE("R5C",'Mapa final'!#REF!),"")</f>
        <v>#REF!</v>
      </c>
      <c r="AI10" s="56" t="e">
        <f>IF(AND('Mapa final'!#REF!="Muy Alta",'Mapa final'!#REF!="Catastrófico"),CONCATENATE("R5C",'Mapa final'!#REF!),"")</f>
        <v>#REF!</v>
      </c>
      <c r="AJ10" s="56" t="e">
        <f>IF(AND('Mapa final'!#REF!="Muy Alta",'Mapa final'!#REF!="Catastrófico"),CONCATENATE("R5C",'Mapa final'!#REF!),"")</f>
        <v>#REF!</v>
      </c>
      <c r="AK10" s="56" t="e">
        <f>IF(AND('Mapa final'!#REF!="Muy Alta",'Mapa final'!#REF!="Catastrófico"),CONCATENATE("R5C",'Mapa final'!#REF!),"")</f>
        <v>#REF!</v>
      </c>
      <c r="AL10" s="56" t="e">
        <f>IF(AND('Mapa final'!#REF!="Muy Alta",'Mapa final'!#REF!="Catastrófico"),CONCATENATE("R5C",'Mapa final'!#REF!),"")</f>
        <v>#REF!</v>
      </c>
      <c r="AM10" s="57" t="e">
        <f>IF(AND('Mapa final'!#REF!="Muy Alta",'Mapa final'!#REF!="Catastrófico"),CONCATENATE("R5C",'Mapa final'!#REF!),"")</f>
        <v>#REF!</v>
      </c>
      <c r="AN10" s="83"/>
      <c r="AO10" s="489"/>
      <c r="AP10" s="490"/>
      <c r="AQ10" s="490"/>
      <c r="AR10" s="490"/>
      <c r="AS10" s="490"/>
      <c r="AT10" s="49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384"/>
      <c r="C11" s="384"/>
      <c r="D11" s="385"/>
      <c r="E11" s="483"/>
      <c r="F11" s="482"/>
      <c r="G11" s="482"/>
      <c r="H11" s="482"/>
      <c r="I11" s="498"/>
      <c r="J11" s="52" t="e">
        <f>IF(AND('Mapa final'!#REF!="Muy Alta",'Mapa final'!#REF!="Leve"),CONCATENATE("R6C",'Mapa final'!#REF!),"")</f>
        <v>#REF!</v>
      </c>
      <c r="K11" s="53" t="e">
        <f>IF(AND('Mapa final'!#REF!="Muy Alta",'Mapa final'!#REF!="Leve"),CONCATENATE("R6C",'Mapa final'!#REF!),"")</f>
        <v>#REF!</v>
      </c>
      <c r="L11" s="53" t="e">
        <f>IF(AND('Mapa final'!#REF!="Muy Alta",'Mapa final'!#REF!="Leve"),CONCATENATE("R6C",'Mapa final'!#REF!),"")</f>
        <v>#REF!</v>
      </c>
      <c r="M11" s="53" t="e">
        <f>IF(AND('Mapa final'!#REF!="Muy Alta",'Mapa final'!#REF!="Leve"),CONCATENATE("R6C",'Mapa final'!#REF!),"")</f>
        <v>#REF!</v>
      </c>
      <c r="N11" s="53" t="e">
        <f>IF(AND('Mapa final'!#REF!="Muy Alta",'Mapa final'!#REF!="Leve"),CONCATENATE("R6C",'Mapa final'!#REF!),"")</f>
        <v>#REF!</v>
      </c>
      <c r="O11" s="54" t="e">
        <f>IF(AND('Mapa final'!#REF!="Muy Alta",'Mapa final'!#REF!="Leve"),CONCATENATE("R6C",'Mapa final'!#REF!),"")</f>
        <v>#REF!</v>
      </c>
      <c r="P11" s="52" t="e">
        <f>IF(AND('Mapa final'!#REF!="Muy Alta",'Mapa final'!#REF!="Menor"),CONCATENATE("R6C",'Mapa final'!#REF!),"")</f>
        <v>#REF!</v>
      </c>
      <c r="Q11" s="53" t="e">
        <f>IF(AND('Mapa final'!#REF!="Muy Alta",'Mapa final'!#REF!="Menor"),CONCATENATE("R6C",'Mapa final'!#REF!),"")</f>
        <v>#REF!</v>
      </c>
      <c r="R11" s="53" t="e">
        <f>IF(AND('Mapa final'!#REF!="Muy Alta",'Mapa final'!#REF!="Menor"),CONCATENATE("R6C",'Mapa final'!#REF!),"")</f>
        <v>#REF!</v>
      </c>
      <c r="S11" s="53" t="e">
        <f>IF(AND('Mapa final'!#REF!="Muy Alta",'Mapa final'!#REF!="Menor"),CONCATENATE("R6C",'Mapa final'!#REF!),"")</f>
        <v>#REF!</v>
      </c>
      <c r="T11" s="53" t="e">
        <f>IF(AND('Mapa final'!#REF!="Muy Alta",'Mapa final'!#REF!="Menor"),CONCATENATE("R6C",'Mapa final'!#REF!),"")</f>
        <v>#REF!</v>
      </c>
      <c r="U11" s="54" t="e">
        <f>IF(AND('Mapa final'!#REF!="Muy Alta",'Mapa final'!#REF!="Menor"),CONCATENATE("R6C",'Mapa final'!#REF!),"")</f>
        <v>#REF!</v>
      </c>
      <c r="V11" s="52" t="e">
        <f>IF(AND('Mapa final'!#REF!="Muy Alta",'Mapa final'!#REF!="Moderado"),CONCATENATE("R6C",'Mapa final'!#REF!),"")</f>
        <v>#REF!</v>
      </c>
      <c r="W11" s="53" t="e">
        <f>IF(AND('Mapa final'!#REF!="Muy Alta",'Mapa final'!#REF!="Moderado"),CONCATENATE("R6C",'Mapa final'!#REF!),"")</f>
        <v>#REF!</v>
      </c>
      <c r="X11" s="53" t="e">
        <f>IF(AND('Mapa final'!#REF!="Muy Alta",'Mapa final'!#REF!="Moderado"),CONCATENATE("R6C",'Mapa final'!#REF!),"")</f>
        <v>#REF!</v>
      </c>
      <c r="Y11" s="53" t="e">
        <f>IF(AND('Mapa final'!#REF!="Muy Alta",'Mapa final'!#REF!="Moderado"),CONCATENATE("R6C",'Mapa final'!#REF!),"")</f>
        <v>#REF!</v>
      </c>
      <c r="Z11" s="53" t="e">
        <f>IF(AND('Mapa final'!#REF!="Muy Alta",'Mapa final'!#REF!="Moderado"),CONCATENATE("R6C",'Mapa final'!#REF!),"")</f>
        <v>#REF!</v>
      </c>
      <c r="AA11" s="54" t="e">
        <f>IF(AND('Mapa final'!#REF!="Muy Alta",'Mapa final'!#REF!="Moderado"),CONCATENATE("R6C",'Mapa final'!#REF!),"")</f>
        <v>#REF!</v>
      </c>
      <c r="AB11" s="52" t="e">
        <f>IF(AND('Mapa final'!#REF!="Muy Alta",'Mapa final'!#REF!="Mayor"),CONCATENATE("R6C",'Mapa final'!#REF!),"")</f>
        <v>#REF!</v>
      </c>
      <c r="AC11" s="53" t="e">
        <f>IF(AND('Mapa final'!#REF!="Muy Alta",'Mapa final'!#REF!="Mayor"),CONCATENATE("R6C",'Mapa final'!#REF!),"")</f>
        <v>#REF!</v>
      </c>
      <c r="AD11" s="53" t="e">
        <f>IF(AND('Mapa final'!#REF!="Muy Alta",'Mapa final'!#REF!="Mayor"),CONCATENATE("R6C",'Mapa final'!#REF!),"")</f>
        <v>#REF!</v>
      </c>
      <c r="AE11" s="53" t="e">
        <f>IF(AND('Mapa final'!#REF!="Muy Alta",'Mapa final'!#REF!="Mayor"),CONCATENATE("R6C",'Mapa final'!#REF!),"")</f>
        <v>#REF!</v>
      </c>
      <c r="AF11" s="53" t="e">
        <f>IF(AND('Mapa final'!#REF!="Muy Alta",'Mapa final'!#REF!="Mayor"),CONCATENATE("R6C",'Mapa final'!#REF!),"")</f>
        <v>#REF!</v>
      </c>
      <c r="AG11" s="54" t="e">
        <f>IF(AND('Mapa final'!#REF!="Muy Alta",'Mapa final'!#REF!="Mayor"),CONCATENATE("R6C",'Mapa final'!#REF!),"")</f>
        <v>#REF!</v>
      </c>
      <c r="AH11" s="55" t="e">
        <f>IF(AND('Mapa final'!#REF!="Muy Alta",'Mapa final'!#REF!="Catastrófico"),CONCATENATE("R6C",'Mapa final'!#REF!),"")</f>
        <v>#REF!</v>
      </c>
      <c r="AI11" s="56" t="e">
        <f>IF(AND('Mapa final'!#REF!="Muy Alta",'Mapa final'!#REF!="Catastrófico"),CONCATENATE("R6C",'Mapa final'!#REF!),"")</f>
        <v>#REF!</v>
      </c>
      <c r="AJ11" s="56" t="e">
        <f>IF(AND('Mapa final'!#REF!="Muy Alta",'Mapa final'!#REF!="Catastrófico"),CONCATENATE("R6C",'Mapa final'!#REF!),"")</f>
        <v>#REF!</v>
      </c>
      <c r="AK11" s="56" t="e">
        <f>IF(AND('Mapa final'!#REF!="Muy Alta",'Mapa final'!#REF!="Catastrófico"),CONCATENATE("R6C",'Mapa final'!#REF!),"")</f>
        <v>#REF!</v>
      </c>
      <c r="AL11" s="56" t="e">
        <f>IF(AND('Mapa final'!#REF!="Muy Alta",'Mapa final'!#REF!="Catastrófico"),CONCATENATE("R6C",'Mapa final'!#REF!),"")</f>
        <v>#REF!</v>
      </c>
      <c r="AM11" s="57" t="e">
        <f>IF(AND('Mapa final'!#REF!="Muy Alta",'Mapa final'!#REF!="Catastrófico"),CONCATENATE("R6C",'Mapa final'!#REF!),"")</f>
        <v>#REF!</v>
      </c>
      <c r="AN11" s="83"/>
      <c r="AO11" s="489"/>
      <c r="AP11" s="490"/>
      <c r="AQ11" s="490"/>
      <c r="AR11" s="490"/>
      <c r="AS11" s="490"/>
      <c r="AT11" s="49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384"/>
      <c r="C12" s="384"/>
      <c r="D12" s="385"/>
      <c r="E12" s="483"/>
      <c r="F12" s="482"/>
      <c r="G12" s="482"/>
      <c r="H12" s="482"/>
      <c r="I12" s="498"/>
      <c r="J12" s="52" t="e">
        <f>IF(AND('Mapa final'!#REF!="Muy Alta",'Mapa final'!#REF!="Leve"),CONCATENATE("R7C",'Mapa final'!#REF!),"")</f>
        <v>#REF!</v>
      </c>
      <c r="K12" s="53" t="e">
        <f>IF(AND('Mapa final'!#REF!="Muy Alta",'Mapa final'!#REF!="Leve"),CONCATENATE("R7C",'Mapa final'!#REF!),"")</f>
        <v>#REF!</v>
      </c>
      <c r="L12" s="53" t="e">
        <f>IF(AND('Mapa final'!#REF!="Muy Alta",'Mapa final'!#REF!="Leve"),CONCATENATE("R7C",'Mapa final'!#REF!),"")</f>
        <v>#REF!</v>
      </c>
      <c r="M12" s="53" t="e">
        <f>IF(AND('Mapa final'!#REF!="Muy Alta",'Mapa final'!#REF!="Leve"),CONCATENATE("R7C",'Mapa final'!#REF!),"")</f>
        <v>#REF!</v>
      </c>
      <c r="N12" s="53" t="e">
        <f>IF(AND('Mapa final'!#REF!="Muy Alta",'Mapa final'!#REF!="Leve"),CONCATENATE("R7C",'Mapa final'!#REF!),"")</f>
        <v>#REF!</v>
      </c>
      <c r="O12" s="54" t="e">
        <f>IF(AND('Mapa final'!#REF!="Muy Alta",'Mapa final'!#REF!="Leve"),CONCATENATE("R7C",'Mapa final'!#REF!),"")</f>
        <v>#REF!</v>
      </c>
      <c r="P12" s="52" t="e">
        <f>IF(AND('Mapa final'!#REF!="Muy Alta",'Mapa final'!#REF!="Menor"),CONCATENATE("R7C",'Mapa final'!#REF!),"")</f>
        <v>#REF!</v>
      </c>
      <c r="Q12" s="53" t="e">
        <f>IF(AND('Mapa final'!#REF!="Muy Alta",'Mapa final'!#REF!="Menor"),CONCATENATE("R7C",'Mapa final'!#REF!),"")</f>
        <v>#REF!</v>
      </c>
      <c r="R12" s="53" t="e">
        <f>IF(AND('Mapa final'!#REF!="Muy Alta",'Mapa final'!#REF!="Menor"),CONCATENATE("R7C",'Mapa final'!#REF!),"")</f>
        <v>#REF!</v>
      </c>
      <c r="S12" s="53" t="e">
        <f>IF(AND('Mapa final'!#REF!="Muy Alta",'Mapa final'!#REF!="Menor"),CONCATENATE("R7C",'Mapa final'!#REF!),"")</f>
        <v>#REF!</v>
      </c>
      <c r="T12" s="53" t="e">
        <f>IF(AND('Mapa final'!#REF!="Muy Alta",'Mapa final'!#REF!="Menor"),CONCATENATE("R7C",'Mapa final'!#REF!),"")</f>
        <v>#REF!</v>
      </c>
      <c r="U12" s="54" t="e">
        <f>IF(AND('Mapa final'!#REF!="Muy Alta",'Mapa final'!#REF!="Menor"),CONCATENATE("R7C",'Mapa final'!#REF!),"")</f>
        <v>#REF!</v>
      </c>
      <c r="V12" s="52" t="e">
        <f>IF(AND('Mapa final'!#REF!="Muy Alta",'Mapa final'!#REF!="Moderado"),CONCATENATE("R7C",'Mapa final'!#REF!),"")</f>
        <v>#REF!</v>
      </c>
      <c r="W12" s="53" t="e">
        <f>IF(AND('Mapa final'!#REF!="Muy Alta",'Mapa final'!#REF!="Moderado"),CONCATENATE("R7C",'Mapa final'!#REF!),"")</f>
        <v>#REF!</v>
      </c>
      <c r="X12" s="53" t="e">
        <f>IF(AND('Mapa final'!#REF!="Muy Alta",'Mapa final'!#REF!="Moderado"),CONCATENATE("R7C",'Mapa final'!#REF!),"")</f>
        <v>#REF!</v>
      </c>
      <c r="Y12" s="53" t="e">
        <f>IF(AND('Mapa final'!#REF!="Muy Alta",'Mapa final'!#REF!="Moderado"),CONCATENATE("R7C",'Mapa final'!#REF!),"")</f>
        <v>#REF!</v>
      </c>
      <c r="Z12" s="53" t="e">
        <f>IF(AND('Mapa final'!#REF!="Muy Alta",'Mapa final'!#REF!="Moderado"),CONCATENATE("R7C",'Mapa final'!#REF!),"")</f>
        <v>#REF!</v>
      </c>
      <c r="AA12" s="54" t="e">
        <f>IF(AND('Mapa final'!#REF!="Muy Alta",'Mapa final'!#REF!="Moderado"),CONCATENATE("R7C",'Mapa final'!#REF!),"")</f>
        <v>#REF!</v>
      </c>
      <c r="AB12" s="52" t="e">
        <f>IF(AND('Mapa final'!#REF!="Muy Alta",'Mapa final'!#REF!="Mayor"),CONCATENATE("R7C",'Mapa final'!#REF!),"")</f>
        <v>#REF!</v>
      </c>
      <c r="AC12" s="53" t="e">
        <f>IF(AND('Mapa final'!#REF!="Muy Alta",'Mapa final'!#REF!="Mayor"),CONCATENATE("R7C",'Mapa final'!#REF!),"")</f>
        <v>#REF!</v>
      </c>
      <c r="AD12" s="53" t="e">
        <f>IF(AND('Mapa final'!#REF!="Muy Alta",'Mapa final'!#REF!="Mayor"),CONCATENATE("R7C",'Mapa final'!#REF!),"")</f>
        <v>#REF!</v>
      </c>
      <c r="AE12" s="53" t="e">
        <f>IF(AND('Mapa final'!#REF!="Muy Alta",'Mapa final'!#REF!="Mayor"),CONCATENATE("R7C",'Mapa final'!#REF!),"")</f>
        <v>#REF!</v>
      </c>
      <c r="AF12" s="53" t="e">
        <f>IF(AND('Mapa final'!#REF!="Muy Alta",'Mapa final'!#REF!="Mayor"),CONCATENATE("R7C",'Mapa final'!#REF!),"")</f>
        <v>#REF!</v>
      </c>
      <c r="AG12" s="54" t="e">
        <f>IF(AND('Mapa final'!#REF!="Muy Alta",'Mapa final'!#REF!="Mayor"),CONCATENATE("R7C",'Mapa final'!#REF!),"")</f>
        <v>#REF!</v>
      </c>
      <c r="AH12" s="55" t="e">
        <f>IF(AND('Mapa final'!#REF!="Muy Alta",'Mapa final'!#REF!="Catastrófico"),CONCATENATE("R7C",'Mapa final'!#REF!),"")</f>
        <v>#REF!</v>
      </c>
      <c r="AI12" s="56" t="e">
        <f>IF(AND('Mapa final'!#REF!="Muy Alta",'Mapa final'!#REF!="Catastrófico"),CONCATENATE("R7C",'Mapa final'!#REF!),"")</f>
        <v>#REF!</v>
      </c>
      <c r="AJ12" s="56" t="e">
        <f>IF(AND('Mapa final'!#REF!="Muy Alta",'Mapa final'!#REF!="Catastrófico"),CONCATENATE("R7C",'Mapa final'!#REF!),"")</f>
        <v>#REF!</v>
      </c>
      <c r="AK12" s="56" t="e">
        <f>IF(AND('Mapa final'!#REF!="Muy Alta",'Mapa final'!#REF!="Catastrófico"),CONCATENATE("R7C",'Mapa final'!#REF!),"")</f>
        <v>#REF!</v>
      </c>
      <c r="AL12" s="56" t="e">
        <f>IF(AND('Mapa final'!#REF!="Muy Alta",'Mapa final'!#REF!="Catastrófico"),CONCATENATE("R7C",'Mapa final'!#REF!),"")</f>
        <v>#REF!</v>
      </c>
      <c r="AM12" s="57" t="e">
        <f>IF(AND('Mapa final'!#REF!="Muy Alta",'Mapa final'!#REF!="Catastrófico"),CONCATENATE("R7C",'Mapa final'!#REF!),"")</f>
        <v>#REF!</v>
      </c>
      <c r="AN12" s="83"/>
      <c r="AO12" s="489"/>
      <c r="AP12" s="490"/>
      <c r="AQ12" s="490"/>
      <c r="AR12" s="490"/>
      <c r="AS12" s="490"/>
      <c r="AT12" s="49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384"/>
      <c r="C13" s="384"/>
      <c r="D13" s="385"/>
      <c r="E13" s="483"/>
      <c r="F13" s="482"/>
      <c r="G13" s="482"/>
      <c r="H13" s="482"/>
      <c r="I13" s="498"/>
      <c r="J13" s="52" t="str">
        <f>IF(AND('Mapa final'!$Y$29="Muy Alta",'Mapa final'!$AA$29="Leve"),CONCATENATE("R8C",'Mapa final'!$O$29),"")</f>
        <v/>
      </c>
      <c r="K13" s="53" t="e">
        <f>IF(AND('Mapa final'!#REF!="Muy Alta",'Mapa final'!#REF!="Leve"),CONCATENATE("R8C",'Mapa final'!#REF!),"")</f>
        <v>#REF!</v>
      </c>
      <c r="L13" s="53" t="e">
        <f>IF(AND('Mapa final'!#REF!="Muy Alta",'Mapa final'!#REF!="Leve"),CONCATENATE("R8C",'Mapa final'!#REF!),"")</f>
        <v>#REF!</v>
      </c>
      <c r="M13" s="53" t="e">
        <f>IF(AND('Mapa final'!#REF!="Muy Alta",'Mapa final'!#REF!="Leve"),CONCATENATE("R8C",'Mapa final'!#REF!),"")</f>
        <v>#REF!</v>
      </c>
      <c r="N13" s="53" t="e">
        <f>IF(AND('Mapa final'!#REF!="Muy Alta",'Mapa final'!#REF!="Leve"),CONCATENATE("R8C",'Mapa final'!#REF!),"")</f>
        <v>#REF!</v>
      </c>
      <c r="O13" s="54" t="e">
        <f>IF(AND('Mapa final'!#REF!="Muy Alta",'Mapa final'!#REF!="Leve"),CONCATENATE("R8C",'Mapa final'!#REF!),"")</f>
        <v>#REF!</v>
      </c>
      <c r="P13" s="52" t="str">
        <f>IF(AND('Mapa final'!$Y$29="Muy Alta",'Mapa final'!$AA$29="Menor"),CONCATENATE("R8C",'Mapa final'!$O$29),"")</f>
        <v/>
      </c>
      <c r="Q13" s="53" t="e">
        <f>IF(AND('Mapa final'!#REF!="Muy Alta",'Mapa final'!#REF!="Menor"),CONCATENATE("R8C",'Mapa final'!#REF!),"")</f>
        <v>#REF!</v>
      </c>
      <c r="R13" s="53" t="e">
        <f>IF(AND('Mapa final'!#REF!="Muy Alta",'Mapa final'!#REF!="Menor"),CONCATENATE("R8C",'Mapa final'!#REF!),"")</f>
        <v>#REF!</v>
      </c>
      <c r="S13" s="53" t="e">
        <f>IF(AND('Mapa final'!#REF!="Muy Alta",'Mapa final'!#REF!="Menor"),CONCATENATE("R8C",'Mapa final'!#REF!),"")</f>
        <v>#REF!</v>
      </c>
      <c r="T13" s="53" t="e">
        <f>IF(AND('Mapa final'!#REF!="Muy Alta",'Mapa final'!#REF!="Menor"),CONCATENATE("R8C",'Mapa final'!#REF!),"")</f>
        <v>#REF!</v>
      </c>
      <c r="U13" s="54" t="e">
        <f>IF(AND('Mapa final'!#REF!="Muy Alta",'Mapa final'!#REF!="Menor"),CONCATENATE("R8C",'Mapa final'!#REF!),"")</f>
        <v>#REF!</v>
      </c>
      <c r="V13" s="52" t="str">
        <f>IF(AND('Mapa final'!$Y$29="Muy Alta",'Mapa final'!$AA$29="Moderado"),CONCATENATE("R8C",'Mapa final'!$O$29),"")</f>
        <v/>
      </c>
      <c r="W13" s="53" t="e">
        <f>IF(AND('Mapa final'!#REF!="Muy Alta",'Mapa final'!#REF!="Moderado"),CONCATENATE("R8C",'Mapa final'!#REF!),"")</f>
        <v>#REF!</v>
      </c>
      <c r="X13" s="53" t="e">
        <f>IF(AND('Mapa final'!#REF!="Muy Alta",'Mapa final'!#REF!="Moderado"),CONCATENATE("R8C",'Mapa final'!#REF!),"")</f>
        <v>#REF!</v>
      </c>
      <c r="Y13" s="53" t="e">
        <f>IF(AND('Mapa final'!#REF!="Muy Alta",'Mapa final'!#REF!="Moderado"),CONCATENATE("R8C",'Mapa final'!#REF!),"")</f>
        <v>#REF!</v>
      </c>
      <c r="Z13" s="53" t="e">
        <f>IF(AND('Mapa final'!#REF!="Muy Alta",'Mapa final'!#REF!="Moderado"),CONCATENATE("R8C",'Mapa final'!#REF!),"")</f>
        <v>#REF!</v>
      </c>
      <c r="AA13" s="54" t="e">
        <f>IF(AND('Mapa final'!#REF!="Muy Alta",'Mapa final'!#REF!="Moderado"),CONCATENATE("R8C",'Mapa final'!#REF!),"")</f>
        <v>#REF!</v>
      </c>
      <c r="AB13" s="52" t="str">
        <f>IF(AND('Mapa final'!$Y$29="Muy Alta",'Mapa final'!$AA$29="Mayor"),CONCATENATE("R8C",'Mapa final'!$O$29),"")</f>
        <v/>
      </c>
      <c r="AC13" s="53" t="e">
        <f>IF(AND('Mapa final'!#REF!="Muy Alta",'Mapa final'!#REF!="Mayor"),CONCATENATE("R8C",'Mapa final'!#REF!),"")</f>
        <v>#REF!</v>
      </c>
      <c r="AD13" s="53" t="e">
        <f>IF(AND('Mapa final'!#REF!="Muy Alta",'Mapa final'!#REF!="Mayor"),CONCATENATE("R8C",'Mapa final'!#REF!),"")</f>
        <v>#REF!</v>
      </c>
      <c r="AE13" s="53" t="e">
        <f>IF(AND('Mapa final'!#REF!="Muy Alta",'Mapa final'!#REF!="Mayor"),CONCATENATE("R8C",'Mapa final'!#REF!),"")</f>
        <v>#REF!</v>
      </c>
      <c r="AF13" s="53" t="e">
        <f>IF(AND('Mapa final'!#REF!="Muy Alta",'Mapa final'!#REF!="Mayor"),CONCATENATE("R8C",'Mapa final'!#REF!),"")</f>
        <v>#REF!</v>
      </c>
      <c r="AG13" s="54" t="e">
        <f>IF(AND('Mapa final'!#REF!="Muy Alta",'Mapa final'!#REF!="Mayor"),CONCATENATE("R8C",'Mapa final'!#REF!),"")</f>
        <v>#REF!</v>
      </c>
      <c r="AH13" s="55" t="str">
        <f>IF(AND('Mapa final'!$Y$29="Muy Alta",'Mapa final'!$AA$29="Catastrófico"),CONCATENATE("R8C",'Mapa final'!$O$29),"")</f>
        <v/>
      </c>
      <c r="AI13" s="56" t="e">
        <f>IF(AND('Mapa final'!#REF!="Muy Alta",'Mapa final'!#REF!="Catastrófico"),CONCATENATE("R8C",'Mapa final'!#REF!),"")</f>
        <v>#REF!</v>
      </c>
      <c r="AJ13" s="56" t="e">
        <f>IF(AND('Mapa final'!#REF!="Muy Alta",'Mapa final'!#REF!="Catastrófico"),CONCATENATE("R8C",'Mapa final'!#REF!),"")</f>
        <v>#REF!</v>
      </c>
      <c r="AK13" s="56" t="e">
        <f>IF(AND('Mapa final'!#REF!="Muy Alta",'Mapa final'!#REF!="Catastrófico"),CONCATENATE("R8C",'Mapa final'!#REF!),"")</f>
        <v>#REF!</v>
      </c>
      <c r="AL13" s="56" t="e">
        <f>IF(AND('Mapa final'!#REF!="Muy Alta",'Mapa final'!#REF!="Catastrófico"),CONCATENATE("R8C",'Mapa final'!#REF!),"")</f>
        <v>#REF!</v>
      </c>
      <c r="AM13" s="57" t="e">
        <f>IF(AND('Mapa final'!#REF!="Muy Alta",'Mapa final'!#REF!="Catastrófico"),CONCATENATE("R8C",'Mapa final'!#REF!),"")</f>
        <v>#REF!</v>
      </c>
      <c r="AN13" s="83"/>
      <c r="AO13" s="489"/>
      <c r="AP13" s="490"/>
      <c r="AQ13" s="490"/>
      <c r="AR13" s="490"/>
      <c r="AS13" s="490"/>
      <c r="AT13" s="49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384"/>
      <c r="C14" s="384"/>
      <c r="D14" s="385"/>
      <c r="E14" s="483"/>
      <c r="F14" s="482"/>
      <c r="G14" s="482"/>
      <c r="H14" s="482"/>
      <c r="I14" s="498"/>
      <c r="J14" s="52" t="str">
        <f>IF(AND('Mapa final'!$Y$30="Muy Alta",'Mapa final'!$AA$30="Leve"),CONCATENATE("R9C",'Mapa final'!$O$30),"")</f>
        <v/>
      </c>
      <c r="K14" s="53" t="str">
        <f>IF(AND('Mapa final'!$Y$31="Muy Alta",'Mapa final'!$AA$31="Leve"),CONCATENATE("R9C",'Mapa final'!$O$31),"")</f>
        <v/>
      </c>
      <c r="L14" s="53" t="str">
        <f>IF(AND('Mapa final'!$Y$32="Muy Alta",'Mapa final'!$AA$32="Leve"),CONCATENATE("R9C",'Mapa final'!$O$32),"")</f>
        <v/>
      </c>
      <c r="M14" s="53" t="str">
        <f>IF(AND('Mapa final'!$Y$33="Muy Alta",'Mapa final'!$AA$33="Leve"),CONCATENATE("R9C",'Mapa final'!$O$33),"")</f>
        <v/>
      </c>
      <c r="N14" s="53" t="str">
        <f>IF(AND('Mapa final'!$Y$34="Muy Alta",'Mapa final'!$AA$34="Leve"),CONCATENATE("R9C",'Mapa final'!$O$34),"")</f>
        <v/>
      </c>
      <c r="O14" s="54" t="str">
        <f>IF(AND('Mapa final'!$Y$35="Muy Alta",'Mapa final'!$AA$35="Leve"),CONCATENATE("R9C",'Mapa final'!$O$35),"")</f>
        <v/>
      </c>
      <c r="P14" s="52" t="str">
        <f>IF(AND('Mapa final'!$Y$30="Muy Alta",'Mapa final'!$AA$30="Menor"),CONCATENATE("R9C",'Mapa final'!$O$30),"")</f>
        <v/>
      </c>
      <c r="Q14" s="53" t="str">
        <f>IF(AND('Mapa final'!$Y$31="Muy Alta",'Mapa final'!$AA$31="Menor"),CONCATENATE("R9C",'Mapa final'!$O$31),"")</f>
        <v/>
      </c>
      <c r="R14" s="53" t="str">
        <f>IF(AND('Mapa final'!$Y$32="Muy Alta",'Mapa final'!$AA$32="Menor"),CONCATENATE("R9C",'Mapa final'!$O$32),"")</f>
        <v/>
      </c>
      <c r="S14" s="53" t="str">
        <f>IF(AND('Mapa final'!$Y$33="Muy Alta",'Mapa final'!$AA$33="Menor"),CONCATENATE("R9C",'Mapa final'!$O$33),"")</f>
        <v/>
      </c>
      <c r="T14" s="53" t="str">
        <f>IF(AND('Mapa final'!$Y$34="Muy Alta",'Mapa final'!$AA$34="Menor"),CONCATENATE("R9C",'Mapa final'!$O$34),"")</f>
        <v/>
      </c>
      <c r="U14" s="54" t="str">
        <f>IF(AND('Mapa final'!$Y$35="Muy Alta",'Mapa final'!$AA$35="Menor"),CONCATENATE("R9C",'Mapa final'!$O$35),"")</f>
        <v/>
      </c>
      <c r="V14" s="52" t="str">
        <f>IF(AND('Mapa final'!$Y$30="Muy Alta",'Mapa final'!$AA$30="Moderado"),CONCATENATE("R9C",'Mapa final'!$O$30),"")</f>
        <v/>
      </c>
      <c r="W14" s="53" t="str">
        <f>IF(AND('Mapa final'!$Y$31="Muy Alta",'Mapa final'!$AA$31="Moderado"),CONCATENATE("R9C",'Mapa final'!$O$31),"")</f>
        <v/>
      </c>
      <c r="X14" s="53" t="str">
        <f>IF(AND('Mapa final'!$Y$32="Muy Alta",'Mapa final'!$AA$32="Moderado"),CONCATENATE("R9C",'Mapa final'!$O$32),"")</f>
        <v/>
      </c>
      <c r="Y14" s="53" t="str">
        <f>IF(AND('Mapa final'!$Y$33="Muy Alta",'Mapa final'!$AA$33="Moderado"),CONCATENATE("R9C",'Mapa final'!$O$33),"")</f>
        <v/>
      </c>
      <c r="Z14" s="53" t="str">
        <f>IF(AND('Mapa final'!$Y$34="Muy Alta",'Mapa final'!$AA$34="Moderado"),CONCATENATE("R9C",'Mapa final'!$O$34),"")</f>
        <v/>
      </c>
      <c r="AA14" s="54" t="str">
        <f>IF(AND('Mapa final'!$Y$35="Muy Alta",'Mapa final'!$AA$35="Moderado"),CONCATENATE("R9C",'Mapa final'!$O$35),"")</f>
        <v/>
      </c>
      <c r="AB14" s="52" t="str">
        <f>IF(AND('Mapa final'!$Y$30="Muy Alta",'Mapa final'!$AA$30="Mayor"),CONCATENATE("R9C",'Mapa final'!$O$30),"")</f>
        <v/>
      </c>
      <c r="AC14" s="53" t="str">
        <f>IF(AND('Mapa final'!$Y$31="Muy Alta",'Mapa final'!$AA$31="Mayor"),CONCATENATE("R9C",'Mapa final'!$O$31),"")</f>
        <v/>
      </c>
      <c r="AD14" s="53" t="str">
        <f>IF(AND('Mapa final'!$Y$32="Muy Alta",'Mapa final'!$AA$32="Mayor"),CONCATENATE("R9C",'Mapa final'!$O$32),"")</f>
        <v/>
      </c>
      <c r="AE14" s="53" t="str">
        <f>IF(AND('Mapa final'!$Y$33="Muy Alta",'Mapa final'!$AA$33="Mayor"),CONCATENATE("R9C",'Mapa final'!$O$33),"")</f>
        <v/>
      </c>
      <c r="AF14" s="53" t="str">
        <f>IF(AND('Mapa final'!$Y$34="Muy Alta",'Mapa final'!$AA$34="Mayor"),CONCATENATE("R9C",'Mapa final'!$O$34),"")</f>
        <v/>
      </c>
      <c r="AG14" s="54" t="str">
        <f>IF(AND('Mapa final'!$Y$35="Muy Alta",'Mapa final'!$AA$35="Mayor"),CONCATENATE("R9C",'Mapa final'!$O$35),"")</f>
        <v/>
      </c>
      <c r="AH14" s="55" t="str">
        <f>IF(AND('Mapa final'!$Y$30="Muy Alta",'Mapa final'!$AA$30="Catastrófico"),CONCATENATE("R9C",'Mapa final'!$O$30),"")</f>
        <v/>
      </c>
      <c r="AI14" s="56" t="str">
        <f>IF(AND('Mapa final'!$Y$31="Muy Alta",'Mapa final'!$AA$31="Catastrófico"),CONCATENATE("R9C",'Mapa final'!$O$31),"")</f>
        <v/>
      </c>
      <c r="AJ14" s="56" t="str">
        <f>IF(AND('Mapa final'!$Y$32="Muy Alta",'Mapa final'!$AA$32="Catastrófico"),CONCATENATE("R9C",'Mapa final'!$O$32),"")</f>
        <v/>
      </c>
      <c r="AK14" s="56" t="str">
        <f>IF(AND('Mapa final'!$Y$33="Muy Alta",'Mapa final'!$AA$33="Catastrófico"),CONCATENATE("R9C",'Mapa final'!$O$33),"")</f>
        <v/>
      </c>
      <c r="AL14" s="56" t="str">
        <f>IF(AND('Mapa final'!$Y$34="Muy Alta",'Mapa final'!$AA$34="Catastrófico"),CONCATENATE("R9C",'Mapa final'!$O$34),"")</f>
        <v/>
      </c>
      <c r="AM14" s="57" t="str">
        <f>IF(AND('Mapa final'!$Y$35="Muy Alta",'Mapa final'!$AA$35="Catastrófico"),CONCATENATE("R9C",'Mapa final'!$O$35),"")</f>
        <v/>
      </c>
      <c r="AN14" s="83"/>
      <c r="AO14" s="489"/>
      <c r="AP14" s="490"/>
      <c r="AQ14" s="490"/>
      <c r="AR14" s="490"/>
      <c r="AS14" s="490"/>
      <c r="AT14" s="49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384"/>
      <c r="C15" s="384"/>
      <c r="D15" s="385"/>
      <c r="E15" s="484"/>
      <c r="F15" s="485"/>
      <c r="G15" s="485"/>
      <c r="H15" s="485"/>
      <c r="I15" s="499"/>
      <c r="J15" s="58" t="str">
        <f>IF(AND('Mapa final'!$Y$36="Muy Alta",'Mapa final'!$AA$36="Leve"),CONCATENATE("R10C",'Mapa final'!$O$36),"")</f>
        <v/>
      </c>
      <c r="K15" s="59" t="str">
        <f>IF(AND('Mapa final'!$Y$37="Muy Alta",'Mapa final'!$AA$37="Leve"),CONCATENATE("R10C",'Mapa final'!$O$37),"")</f>
        <v/>
      </c>
      <c r="L15" s="59" t="str">
        <f>IF(AND('Mapa final'!$Y$38="Muy Alta",'Mapa final'!$AA$38="Leve"),CONCATENATE("R10C",'Mapa final'!$O$38),"")</f>
        <v/>
      </c>
      <c r="M15" s="59" t="str">
        <f>IF(AND('Mapa final'!$Y$39="Muy Alta",'Mapa final'!$AA$39="Leve"),CONCATENATE("R10C",'Mapa final'!$O$39),"")</f>
        <v/>
      </c>
      <c r="N15" s="59" t="str">
        <f>IF(AND('Mapa final'!$Y$40="Muy Alta",'Mapa final'!$AA$40="Leve"),CONCATENATE("R10C",'Mapa final'!$O$40),"")</f>
        <v/>
      </c>
      <c r="O15" s="60" t="str">
        <f>IF(AND('Mapa final'!$Y$41="Muy Alta",'Mapa final'!$AA$41="Leve"),CONCATENATE("R10C",'Mapa final'!$O$41),"")</f>
        <v/>
      </c>
      <c r="P15" s="52" t="str">
        <f>IF(AND('Mapa final'!$Y$36="Muy Alta",'Mapa final'!$AA$36="Menor"),CONCATENATE("R10C",'Mapa final'!$O$36),"")</f>
        <v/>
      </c>
      <c r="Q15" s="53" t="str">
        <f>IF(AND('Mapa final'!$Y$37="Muy Alta",'Mapa final'!$AA$37="Menor"),CONCATENATE("R10C",'Mapa final'!$O$37),"")</f>
        <v/>
      </c>
      <c r="R15" s="53" t="str">
        <f>IF(AND('Mapa final'!$Y$38="Muy Alta",'Mapa final'!$AA$38="Menor"),CONCATENATE("R10C",'Mapa final'!$O$38),"")</f>
        <v/>
      </c>
      <c r="S15" s="53" t="str">
        <f>IF(AND('Mapa final'!$Y$39="Muy Alta",'Mapa final'!$AA$39="Menor"),CONCATENATE("R10C",'Mapa final'!$O$39),"")</f>
        <v/>
      </c>
      <c r="T15" s="53" t="str">
        <f>IF(AND('Mapa final'!$Y$40="Muy Alta",'Mapa final'!$AA$40="Menor"),CONCATENATE("R10C",'Mapa final'!$O$40),"")</f>
        <v/>
      </c>
      <c r="U15" s="54" t="str">
        <f>IF(AND('Mapa final'!$Y$41="Muy Alta",'Mapa final'!$AA$41="Menor"),CONCATENATE("R10C",'Mapa final'!$O$41),"")</f>
        <v/>
      </c>
      <c r="V15" s="58" t="str">
        <f>IF(AND('Mapa final'!$Y$36="Muy Alta",'Mapa final'!$AA$36="Moderado"),CONCATENATE("R10C",'Mapa final'!$O$36),"")</f>
        <v/>
      </c>
      <c r="W15" s="59" t="str">
        <f>IF(AND('Mapa final'!$Y$37="Muy Alta",'Mapa final'!$AA$37="Moderado"),CONCATENATE("R10C",'Mapa final'!$O$37),"")</f>
        <v/>
      </c>
      <c r="X15" s="59" t="str">
        <f>IF(AND('Mapa final'!$Y$38="Muy Alta",'Mapa final'!$AA$38="Moderado"),CONCATENATE("R10C",'Mapa final'!$O$38),"")</f>
        <v/>
      </c>
      <c r="Y15" s="59" t="str">
        <f>IF(AND('Mapa final'!$Y$39="Muy Alta",'Mapa final'!$AA$39="Moderado"),CONCATENATE("R10C",'Mapa final'!$O$39),"")</f>
        <v/>
      </c>
      <c r="Z15" s="59" t="str">
        <f>IF(AND('Mapa final'!$Y$40="Muy Alta",'Mapa final'!$AA$40="Moderado"),CONCATENATE("R10C",'Mapa final'!$O$40),"")</f>
        <v/>
      </c>
      <c r="AA15" s="60" t="str">
        <f>IF(AND('Mapa final'!$Y$41="Muy Alta",'Mapa final'!$AA$41="Moderado"),CONCATENATE("R10C",'Mapa final'!$O$41),"")</f>
        <v/>
      </c>
      <c r="AB15" s="52" t="str">
        <f>IF(AND('Mapa final'!$Y$36="Muy Alta",'Mapa final'!$AA$36="Mayor"),CONCATENATE("R10C",'Mapa final'!$O$36),"")</f>
        <v/>
      </c>
      <c r="AC15" s="53" t="str">
        <f>IF(AND('Mapa final'!$Y$37="Muy Alta",'Mapa final'!$AA$37="Mayor"),CONCATENATE("R10C",'Mapa final'!$O$37),"")</f>
        <v/>
      </c>
      <c r="AD15" s="53" t="str">
        <f>IF(AND('Mapa final'!$Y$38="Muy Alta",'Mapa final'!$AA$38="Mayor"),CONCATENATE("R10C",'Mapa final'!$O$38),"")</f>
        <v/>
      </c>
      <c r="AE15" s="53" t="str">
        <f>IF(AND('Mapa final'!$Y$39="Muy Alta",'Mapa final'!$AA$39="Mayor"),CONCATENATE("R10C",'Mapa final'!$O$39),"")</f>
        <v/>
      </c>
      <c r="AF15" s="53" t="str">
        <f>IF(AND('Mapa final'!$Y$40="Muy Alta",'Mapa final'!$AA$40="Mayor"),CONCATENATE("R10C",'Mapa final'!$O$40),"")</f>
        <v/>
      </c>
      <c r="AG15" s="54" t="str">
        <f>IF(AND('Mapa final'!$Y$41="Muy Alta",'Mapa final'!$AA$41="Mayor"),CONCATENATE("R10C",'Mapa final'!$O$41),"")</f>
        <v/>
      </c>
      <c r="AH15" s="61" t="str">
        <f>IF(AND('Mapa final'!$Y$36="Muy Alta",'Mapa final'!$AA$36="Catastrófico"),CONCATENATE("R10C",'Mapa final'!$O$36),"")</f>
        <v/>
      </c>
      <c r="AI15" s="62" t="str">
        <f>IF(AND('Mapa final'!$Y$37="Muy Alta",'Mapa final'!$AA$37="Catastrófico"),CONCATENATE("R10C",'Mapa final'!$O$37),"")</f>
        <v/>
      </c>
      <c r="AJ15" s="62" t="str">
        <f>IF(AND('Mapa final'!$Y$38="Muy Alta",'Mapa final'!$AA$38="Catastrófico"),CONCATENATE("R10C",'Mapa final'!$O$38),"")</f>
        <v/>
      </c>
      <c r="AK15" s="62" t="str">
        <f>IF(AND('Mapa final'!$Y$39="Muy Alta",'Mapa final'!$AA$39="Catastrófico"),CONCATENATE("R10C",'Mapa final'!$O$39),"")</f>
        <v/>
      </c>
      <c r="AL15" s="62" t="str">
        <f>IF(AND('Mapa final'!$Y$40="Muy Alta",'Mapa final'!$AA$40="Catastrófico"),CONCATENATE("R10C",'Mapa final'!$O$40),"")</f>
        <v/>
      </c>
      <c r="AM15" s="63" t="str">
        <f>IF(AND('Mapa final'!$Y$41="Muy Alta",'Mapa final'!$AA$41="Catastrófico"),CONCATENATE("R10C",'Mapa final'!$O$41),"")</f>
        <v/>
      </c>
      <c r="AN15" s="83"/>
      <c r="AO15" s="492"/>
      <c r="AP15" s="493"/>
      <c r="AQ15" s="493"/>
      <c r="AR15" s="493"/>
      <c r="AS15" s="493"/>
      <c r="AT15" s="49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384"/>
      <c r="C16" s="384"/>
      <c r="D16" s="385"/>
      <c r="E16" s="479" t="s">
        <v>94</v>
      </c>
      <c r="F16" s="480"/>
      <c r="G16" s="480"/>
      <c r="H16" s="480"/>
      <c r="I16" s="480"/>
      <c r="J16" s="64" t="str">
        <f>IF(AND('Mapa final'!$Y$25="Alta",'Mapa final'!$AA$25="Leve"),CONCATENATE("R1C",'Mapa final'!$O$25),"")</f>
        <v/>
      </c>
      <c r="K16" s="65" t="e">
        <f>IF(AND('Mapa final'!#REF!="Alta",'Mapa final'!#REF!="Leve"),CONCATENATE("R1C",'Mapa final'!#REF!),"")</f>
        <v>#REF!</v>
      </c>
      <c r="L16" s="65" t="e">
        <f>IF(AND('Mapa final'!#REF!="Alta",'Mapa final'!#REF!="Leve"),CONCATENATE("R1C",'Mapa final'!#REF!),"")</f>
        <v>#REF!</v>
      </c>
      <c r="M16" s="65" t="e">
        <f>IF(AND('Mapa final'!#REF!="Alta",'Mapa final'!#REF!="Leve"),CONCATENATE("R1C",'Mapa final'!#REF!),"")</f>
        <v>#REF!</v>
      </c>
      <c r="N16" s="65" t="e">
        <f>IF(AND('Mapa final'!#REF!="Alta",'Mapa final'!#REF!="Leve"),CONCATENATE("R1C",'Mapa final'!#REF!),"")</f>
        <v>#REF!</v>
      </c>
      <c r="O16" s="66" t="e">
        <f>IF(AND('Mapa final'!#REF!="Alta",'Mapa final'!#REF!="Leve"),CONCATENATE("R1C",'Mapa final'!#REF!),"")</f>
        <v>#REF!</v>
      </c>
      <c r="P16" s="64" t="str">
        <f>IF(AND('Mapa final'!$Y$25="Alta",'Mapa final'!$AA$25="Menor"),CONCATENATE("R1C",'Mapa final'!$O$25),"")</f>
        <v/>
      </c>
      <c r="Q16" s="65" t="e">
        <f>IF(AND('Mapa final'!#REF!="Alta",'Mapa final'!#REF!="Menor"),CONCATENATE("R1C",'Mapa final'!#REF!),"")</f>
        <v>#REF!</v>
      </c>
      <c r="R16" s="65" t="e">
        <f>IF(AND('Mapa final'!#REF!="Alta",'Mapa final'!#REF!="Menor"),CONCATENATE("R1C",'Mapa final'!#REF!),"")</f>
        <v>#REF!</v>
      </c>
      <c r="S16" s="65" t="e">
        <f>IF(AND('Mapa final'!#REF!="Alta",'Mapa final'!#REF!="Menor"),CONCATENATE("R1C",'Mapa final'!#REF!),"")</f>
        <v>#REF!</v>
      </c>
      <c r="T16" s="65" t="e">
        <f>IF(AND('Mapa final'!#REF!="Alta",'Mapa final'!#REF!="Menor"),CONCATENATE("R1C",'Mapa final'!#REF!),"")</f>
        <v>#REF!</v>
      </c>
      <c r="U16" s="66" t="e">
        <f>IF(AND('Mapa final'!#REF!="Alta",'Mapa final'!#REF!="Menor"),CONCATENATE("R1C",'Mapa final'!#REF!),"")</f>
        <v>#REF!</v>
      </c>
      <c r="V16" s="46" t="str">
        <f>IF(AND('Mapa final'!$Y$25="Alta",'Mapa final'!$AA$25="Moderado"),CONCATENATE("R1C",'Mapa final'!$O$25),"")</f>
        <v/>
      </c>
      <c r="W16" s="47" t="e">
        <f>IF(AND('Mapa final'!#REF!="Alta",'Mapa final'!#REF!="Moderado"),CONCATENATE("R1C",'Mapa final'!#REF!),"")</f>
        <v>#REF!</v>
      </c>
      <c r="X16" s="47" t="e">
        <f>IF(AND('Mapa final'!#REF!="Alta",'Mapa final'!#REF!="Moderado"),CONCATENATE("R1C",'Mapa final'!#REF!),"")</f>
        <v>#REF!</v>
      </c>
      <c r="Y16" s="47" t="e">
        <f>IF(AND('Mapa final'!#REF!="Alta",'Mapa final'!#REF!="Moderado"),CONCATENATE("R1C",'Mapa final'!#REF!),"")</f>
        <v>#REF!</v>
      </c>
      <c r="Z16" s="47" t="e">
        <f>IF(AND('Mapa final'!#REF!="Alta",'Mapa final'!#REF!="Moderado"),CONCATENATE("R1C",'Mapa final'!#REF!),"")</f>
        <v>#REF!</v>
      </c>
      <c r="AA16" s="48" t="e">
        <f>IF(AND('Mapa final'!#REF!="Alta",'Mapa final'!#REF!="Moderado"),CONCATENATE("R1C",'Mapa final'!#REF!),"")</f>
        <v>#REF!</v>
      </c>
      <c r="AB16" s="46" t="str">
        <f>IF(AND('Mapa final'!$Y$25="Alta",'Mapa final'!$AA$25="Mayor"),CONCATENATE("R1C",'Mapa final'!$O$25),"")</f>
        <v/>
      </c>
      <c r="AC16" s="47" t="e">
        <f>IF(AND('Mapa final'!#REF!="Alta",'Mapa final'!#REF!="Mayor"),CONCATENATE("R1C",'Mapa final'!#REF!),"")</f>
        <v>#REF!</v>
      </c>
      <c r="AD16" s="47" t="e">
        <f>IF(AND('Mapa final'!#REF!="Alta",'Mapa final'!#REF!="Mayor"),CONCATENATE("R1C",'Mapa final'!#REF!),"")</f>
        <v>#REF!</v>
      </c>
      <c r="AE16" s="47" t="e">
        <f>IF(AND('Mapa final'!#REF!="Alta",'Mapa final'!#REF!="Mayor"),CONCATENATE("R1C",'Mapa final'!#REF!),"")</f>
        <v>#REF!</v>
      </c>
      <c r="AF16" s="47" t="e">
        <f>IF(AND('Mapa final'!#REF!="Alta",'Mapa final'!#REF!="Mayor"),CONCATENATE("R1C",'Mapa final'!#REF!),"")</f>
        <v>#REF!</v>
      </c>
      <c r="AG16" s="48" t="e">
        <f>IF(AND('Mapa final'!#REF!="Alta",'Mapa final'!#REF!="Mayor"),CONCATENATE("R1C",'Mapa final'!#REF!),"")</f>
        <v>#REF!</v>
      </c>
      <c r="AH16" s="49" t="str">
        <f>IF(AND('Mapa final'!$Y$25="Alta",'Mapa final'!$AA$25="Catastrófico"),CONCATENATE("R1C",'Mapa final'!$O$25),"")</f>
        <v/>
      </c>
      <c r="AI16" s="50" t="e">
        <f>IF(AND('Mapa final'!#REF!="Alta",'Mapa final'!#REF!="Catastrófico"),CONCATENATE("R1C",'Mapa final'!#REF!),"")</f>
        <v>#REF!</v>
      </c>
      <c r="AJ16" s="50" t="e">
        <f>IF(AND('Mapa final'!#REF!="Alta",'Mapa final'!#REF!="Catastrófico"),CONCATENATE("R1C",'Mapa final'!#REF!),"")</f>
        <v>#REF!</v>
      </c>
      <c r="AK16" s="50" t="e">
        <f>IF(AND('Mapa final'!#REF!="Alta",'Mapa final'!#REF!="Catastrófico"),CONCATENATE("R1C",'Mapa final'!#REF!),"")</f>
        <v>#REF!</v>
      </c>
      <c r="AL16" s="50" t="e">
        <f>IF(AND('Mapa final'!#REF!="Alta",'Mapa final'!#REF!="Catastrófico"),CONCATENATE("R1C",'Mapa final'!#REF!),"")</f>
        <v>#REF!</v>
      </c>
      <c r="AM16" s="51" t="e">
        <f>IF(AND('Mapa final'!#REF!="Alta",'Mapa final'!#REF!="Catastrófico"),CONCATENATE("R1C",'Mapa final'!#REF!),"")</f>
        <v>#REF!</v>
      </c>
      <c r="AN16" s="83"/>
      <c r="AO16" s="470" t="s">
        <v>95</v>
      </c>
      <c r="AP16" s="471"/>
      <c r="AQ16" s="471"/>
      <c r="AR16" s="471"/>
      <c r="AS16" s="471"/>
      <c r="AT16" s="47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384"/>
      <c r="C17" s="384"/>
      <c r="D17" s="385"/>
      <c r="E17" s="481"/>
      <c r="F17" s="482"/>
      <c r="G17" s="482"/>
      <c r="H17" s="482"/>
      <c r="I17" s="482"/>
      <c r="J17" s="67" t="str">
        <f>IF(AND('Mapa final'!$Y$26="Alta",'Mapa final'!$AA$26="Leve"),CONCATENATE("R2C",'Mapa final'!$O$26),"")</f>
        <v/>
      </c>
      <c r="K17" s="68" t="str">
        <f>IF(AND('Mapa final'!$Y$27="Alta",'Mapa final'!$AA$27="Leve"),CONCATENATE("R2C",'Mapa final'!$O$27),"")</f>
        <v/>
      </c>
      <c r="L17" s="68" t="e">
        <f>IF(AND('Mapa final'!#REF!="Alta",'Mapa final'!#REF!="Leve"),CONCATENATE("R2C",'Mapa final'!#REF!),"")</f>
        <v>#REF!</v>
      </c>
      <c r="M17" s="68" t="e">
        <f>IF(AND('Mapa final'!#REF!="Alta",'Mapa final'!#REF!="Leve"),CONCATENATE("R2C",'Mapa final'!#REF!),"")</f>
        <v>#REF!</v>
      </c>
      <c r="N17" s="68" t="e">
        <f>IF(AND('Mapa final'!#REF!="Alta",'Mapa final'!#REF!="Leve"),CONCATENATE("R2C",'Mapa final'!#REF!),"")</f>
        <v>#REF!</v>
      </c>
      <c r="O17" s="69" t="e">
        <f>IF(AND('Mapa final'!#REF!="Alta",'Mapa final'!#REF!="Leve"),CONCATENATE("R2C",'Mapa final'!#REF!),"")</f>
        <v>#REF!</v>
      </c>
      <c r="P17" s="67" t="str">
        <f>IF(AND('Mapa final'!$Y$26="Alta",'Mapa final'!$AA$26="Menor"),CONCATENATE("R2C",'Mapa final'!$O$26),"")</f>
        <v/>
      </c>
      <c r="Q17" s="68" t="str">
        <f>IF(AND('Mapa final'!$Y$27="Alta",'Mapa final'!$AA$27="Menor"),CONCATENATE("R2C",'Mapa final'!$O$27),"")</f>
        <v/>
      </c>
      <c r="R17" s="68" t="e">
        <f>IF(AND('Mapa final'!#REF!="Alta",'Mapa final'!#REF!="Menor"),CONCATENATE("R2C",'Mapa final'!#REF!),"")</f>
        <v>#REF!</v>
      </c>
      <c r="S17" s="68" t="e">
        <f>IF(AND('Mapa final'!#REF!="Alta",'Mapa final'!#REF!="Menor"),CONCATENATE("R2C",'Mapa final'!#REF!),"")</f>
        <v>#REF!</v>
      </c>
      <c r="T17" s="68" t="e">
        <f>IF(AND('Mapa final'!#REF!="Alta",'Mapa final'!#REF!="Menor"),CONCATENATE("R2C",'Mapa final'!#REF!),"")</f>
        <v>#REF!</v>
      </c>
      <c r="U17" s="69" t="e">
        <f>IF(AND('Mapa final'!#REF!="Alta",'Mapa final'!#REF!="Menor"),CONCATENATE("R2C",'Mapa final'!#REF!),"")</f>
        <v>#REF!</v>
      </c>
      <c r="V17" s="52" t="str">
        <f>IF(AND('Mapa final'!$Y$26="Alta",'Mapa final'!$AA$26="Moderado"),CONCATENATE("R2C",'Mapa final'!$O$26),"")</f>
        <v/>
      </c>
      <c r="W17" s="53" t="str">
        <f>IF(AND('Mapa final'!$Y$27="Alta",'Mapa final'!$AA$27="Moderado"),CONCATENATE("R2C",'Mapa final'!$O$27),"")</f>
        <v/>
      </c>
      <c r="X17" s="53" t="e">
        <f>IF(AND('Mapa final'!#REF!="Alta",'Mapa final'!#REF!="Moderado"),CONCATENATE("R2C",'Mapa final'!#REF!),"")</f>
        <v>#REF!</v>
      </c>
      <c r="Y17" s="53" t="e">
        <f>IF(AND('Mapa final'!#REF!="Alta",'Mapa final'!#REF!="Moderado"),CONCATENATE("R2C",'Mapa final'!#REF!),"")</f>
        <v>#REF!</v>
      </c>
      <c r="Z17" s="53" t="e">
        <f>IF(AND('Mapa final'!#REF!="Alta",'Mapa final'!#REF!="Moderado"),CONCATENATE("R2C",'Mapa final'!#REF!),"")</f>
        <v>#REF!</v>
      </c>
      <c r="AA17" s="54" t="e">
        <f>IF(AND('Mapa final'!#REF!="Alta",'Mapa final'!#REF!="Moderado"),CONCATENATE("R2C",'Mapa final'!#REF!),"")</f>
        <v>#REF!</v>
      </c>
      <c r="AB17" s="52" t="str">
        <f>IF(AND('Mapa final'!$Y$26="Alta",'Mapa final'!$AA$26="Mayor"),CONCATENATE("R2C",'Mapa final'!$O$26),"")</f>
        <v/>
      </c>
      <c r="AC17" s="53" t="str">
        <f>IF(AND('Mapa final'!$Y$27="Alta",'Mapa final'!$AA$27="Mayor"),CONCATENATE("R2C",'Mapa final'!$O$27),"")</f>
        <v/>
      </c>
      <c r="AD17" s="53" t="e">
        <f>IF(AND('Mapa final'!#REF!="Alta",'Mapa final'!#REF!="Mayor"),CONCATENATE("R2C",'Mapa final'!#REF!),"")</f>
        <v>#REF!</v>
      </c>
      <c r="AE17" s="53" t="e">
        <f>IF(AND('Mapa final'!#REF!="Alta",'Mapa final'!#REF!="Mayor"),CONCATENATE("R2C",'Mapa final'!#REF!),"")</f>
        <v>#REF!</v>
      </c>
      <c r="AF17" s="53" t="e">
        <f>IF(AND('Mapa final'!#REF!="Alta",'Mapa final'!#REF!="Mayor"),CONCATENATE("R2C",'Mapa final'!#REF!),"")</f>
        <v>#REF!</v>
      </c>
      <c r="AG17" s="54" t="e">
        <f>IF(AND('Mapa final'!#REF!="Alta",'Mapa final'!#REF!="Mayor"),CONCATENATE("R2C",'Mapa final'!#REF!),"")</f>
        <v>#REF!</v>
      </c>
      <c r="AH17" s="55" t="str">
        <f>IF(AND('Mapa final'!$Y$26="Alta",'Mapa final'!$AA$26="Catastrófico"),CONCATENATE("R2C",'Mapa final'!$O$26),"")</f>
        <v/>
      </c>
      <c r="AI17" s="56" t="str">
        <f>IF(AND('Mapa final'!$Y$27="Alta",'Mapa final'!$AA$27="Catastrófico"),CONCATENATE("R2C",'Mapa final'!$O$27),"")</f>
        <v/>
      </c>
      <c r="AJ17" s="56" t="e">
        <f>IF(AND('Mapa final'!#REF!="Alta",'Mapa final'!#REF!="Catastrófico"),CONCATENATE("R2C",'Mapa final'!#REF!),"")</f>
        <v>#REF!</v>
      </c>
      <c r="AK17" s="56" t="e">
        <f>IF(AND('Mapa final'!#REF!="Alta",'Mapa final'!#REF!="Catastrófico"),CONCATENATE("R2C",'Mapa final'!#REF!),"")</f>
        <v>#REF!</v>
      </c>
      <c r="AL17" s="56" t="e">
        <f>IF(AND('Mapa final'!#REF!="Alta",'Mapa final'!#REF!="Catastrófico"),CONCATENATE("R2C",'Mapa final'!#REF!),"")</f>
        <v>#REF!</v>
      </c>
      <c r="AM17" s="57" t="e">
        <f>IF(AND('Mapa final'!#REF!="Alta",'Mapa final'!#REF!="Catastrófico"),CONCATENATE("R2C",'Mapa final'!#REF!),"")</f>
        <v>#REF!</v>
      </c>
      <c r="AN17" s="83"/>
      <c r="AO17" s="473"/>
      <c r="AP17" s="474"/>
      <c r="AQ17" s="474"/>
      <c r="AR17" s="474"/>
      <c r="AS17" s="474"/>
      <c r="AT17" s="47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384"/>
      <c r="C18" s="384"/>
      <c r="D18" s="385"/>
      <c r="E18" s="483"/>
      <c r="F18" s="482"/>
      <c r="G18" s="482"/>
      <c r="H18" s="482"/>
      <c r="I18" s="482"/>
      <c r="J18" s="67" t="str">
        <f>IF(AND('Mapa final'!$Y$28="Alta",'Mapa final'!$AA$28="Leve"),CONCATENATE("R3C",'Mapa final'!$O$28),"")</f>
        <v/>
      </c>
      <c r="K18" s="68" t="e">
        <f>IF(AND('Mapa final'!#REF!="Alta",'Mapa final'!#REF!="Leve"),CONCATENATE("R3C",'Mapa final'!#REF!),"")</f>
        <v>#REF!</v>
      </c>
      <c r="L18" s="68" t="e">
        <f>IF(AND('Mapa final'!#REF!="Alta",'Mapa final'!#REF!="Leve"),CONCATENATE("R3C",'Mapa final'!#REF!),"")</f>
        <v>#REF!</v>
      </c>
      <c r="M18" s="68" t="e">
        <f>IF(AND('Mapa final'!#REF!="Alta",'Mapa final'!#REF!="Leve"),CONCATENATE("R3C",'Mapa final'!#REF!),"")</f>
        <v>#REF!</v>
      </c>
      <c r="N18" s="68" t="e">
        <f>IF(AND('Mapa final'!#REF!="Alta",'Mapa final'!#REF!="Leve"),CONCATENATE("R3C",'Mapa final'!#REF!),"")</f>
        <v>#REF!</v>
      </c>
      <c r="O18" s="69" t="e">
        <f>IF(AND('Mapa final'!#REF!="Alta",'Mapa final'!#REF!="Leve"),CONCATENATE("R3C",'Mapa final'!#REF!),"")</f>
        <v>#REF!</v>
      </c>
      <c r="P18" s="67" t="str">
        <f>IF(AND('Mapa final'!$Y$28="Alta",'Mapa final'!$AA$28="Menor"),CONCATENATE("R3C",'Mapa final'!$O$28),"")</f>
        <v/>
      </c>
      <c r="Q18" s="68" t="e">
        <f>IF(AND('Mapa final'!#REF!="Alta",'Mapa final'!#REF!="Menor"),CONCATENATE("R3C",'Mapa final'!#REF!),"")</f>
        <v>#REF!</v>
      </c>
      <c r="R18" s="68" t="e">
        <f>IF(AND('Mapa final'!#REF!="Alta",'Mapa final'!#REF!="Menor"),CONCATENATE("R3C",'Mapa final'!#REF!),"")</f>
        <v>#REF!</v>
      </c>
      <c r="S18" s="68" t="e">
        <f>IF(AND('Mapa final'!#REF!="Alta",'Mapa final'!#REF!="Menor"),CONCATENATE("R3C",'Mapa final'!#REF!),"")</f>
        <v>#REF!</v>
      </c>
      <c r="T18" s="68" t="e">
        <f>IF(AND('Mapa final'!#REF!="Alta",'Mapa final'!#REF!="Menor"),CONCATENATE("R3C",'Mapa final'!#REF!),"")</f>
        <v>#REF!</v>
      </c>
      <c r="U18" s="69" t="e">
        <f>IF(AND('Mapa final'!#REF!="Alta",'Mapa final'!#REF!="Menor"),CONCATENATE("R3C",'Mapa final'!#REF!),"")</f>
        <v>#REF!</v>
      </c>
      <c r="V18" s="52" t="str">
        <f>IF(AND('Mapa final'!$Y$28="Alta",'Mapa final'!$AA$28="Moderado"),CONCATENATE("R3C",'Mapa final'!$O$28),"")</f>
        <v/>
      </c>
      <c r="W18" s="53" t="e">
        <f>IF(AND('Mapa final'!#REF!="Alta",'Mapa final'!#REF!="Moderado"),CONCATENATE("R3C",'Mapa final'!#REF!),"")</f>
        <v>#REF!</v>
      </c>
      <c r="X18" s="53" t="e">
        <f>IF(AND('Mapa final'!#REF!="Alta",'Mapa final'!#REF!="Moderado"),CONCATENATE("R3C",'Mapa final'!#REF!),"")</f>
        <v>#REF!</v>
      </c>
      <c r="Y18" s="53" t="e">
        <f>IF(AND('Mapa final'!#REF!="Alta",'Mapa final'!#REF!="Moderado"),CONCATENATE("R3C",'Mapa final'!#REF!),"")</f>
        <v>#REF!</v>
      </c>
      <c r="Z18" s="53" t="e">
        <f>IF(AND('Mapa final'!#REF!="Alta",'Mapa final'!#REF!="Moderado"),CONCATENATE("R3C",'Mapa final'!#REF!),"")</f>
        <v>#REF!</v>
      </c>
      <c r="AA18" s="54" t="e">
        <f>IF(AND('Mapa final'!#REF!="Alta",'Mapa final'!#REF!="Moderado"),CONCATENATE("R3C",'Mapa final'!#REF!),"")</f>
        <v>#REF!</v>
      </c>
      <c r="AB18" s="52" t="str">
        <f>IF(AND('Mapa final'!$Y$28="Alta",'Mapa final'!$AA$28="Mayor"),CONCATENATE("R3C",'Mapa final'!$O$28),"")</f>
        <v/>
      </c>
      <c r="AC18" s="53" t="e">
        <f>IF(AND('Mapa final'!#REF!="Alta",'Mapa final'!#REF!="Mayor"),CONCATENATE("R3C",'Mapa final'!#REF!),"")</f>
        <v>#REF!</v>
      </c>
      <c r="AD18" s="53" t="e">
        <f>IF(AND('Mapa final'!#REF!="Alta",'Mapa final'!#REF!="Mayor"),CONCATENATE("R3C",'Mapa final'!#REF!),"")</f>
        <v>#REF!</v>
      </c>
      <c r="AE18" s="53" t="e">
        <f>IF(AND('Mapa final'!#REF!="Alta",'Mapa final'!#REF!="Mayor"),CONCATENATE("R3C",'Mapa final'!#REF!),"")</f>
        <v>#REF!</v>
      </c>
      <c r="AF18" s="53" t="e">
        <f>IF(AND('Mapa final'!#REF!="Alta",'Mapa final'!#REF!="Mayor"),CONCATENATE("R3C",'Mapa final'!#REF!),"")</f>
        <v>#REF!</v>
      </c>
      <c r="AG18" s="54" t="e">
        <f>IF(AND('Mapa final'!#REF!="Alta",'Mapa final'!#REF!="Mayor"),CONCATENATE("R3C",'Mapa final'!#REF!),"")</f>
        <v>#REF!</v>
      </c>
      <c r="AH18" s="55" t="str">
        <f>IF(AND('Mapa final'!$Y$28="Alta",'Mapa final'!$AA$28="Catastrófico"),CONCATENATE("R3C",'Mapa final'!$O$28),"")</f>
        <v/>
      </c>
      <c r="AI18" s="56" t="e">
        <f>IF(AND('Mapa final'!#REF!="Alta",'Mapa final'!#REF!="Catastrófico"),CONCATENATE("R3C",'Mapa final'!#REF!),"")</f>
        <v>#REF!</v>
      </c>
      <c r="AJ18" s="56" t="e">
        <f>IF(AND('Mapa final'!#REF!="Alta",'Mapa final'!#REF!="Catastrófico"),CONCATENATE("R3C",'Mapa final'!#REF!),"")</f>
        <v>#REF!</v>
      </c>
      <c r="AK18" s="56" t="e">
        <f>IF(AND('Mapa final'!#REF!="Alta",'Mapa final'!#REF!="Catastrófico"),CONCATENATE("R3C",'Mapa final'!#REF!),"")</f>
        <v>#REF!</v>
      </c>
      <c r="AL18" s="56" t="e">
        <f>IF(AND('Mapa final'!#REF!="Alta",'Mapa final'!#REF!="Catastrófico"),CONCATENATE("R3C",'Mapa final'!#REF!),"")</f>
        <v>#REF!</v>
      </c>
      <c r="AM18" s="57" t="e">
        <f>IF(AND('Mapa final'!#REF!="Alta",'Mapa final'!#REF!="Catastrófico"),CONCATENATE("R3C",'Mapa final'!#REF!),"")</f>
        <v>#REF!</v>
      </c>
      <c r="AN18" s="83"/>
      <c r="AO18" s="473"/>
      <c r="AP18" s="474"/>
      <c r="AQ18" s="474"/>
      <c r="AR18" s="474"/>
      <c r="AS18" s="474"/>
      <c r="AT18" s="47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384"/>
      <c r="C19" s="384"/>
      <c r="D19" s="385"/>
      <c r="E19" s="483"/>
      <c r="F19" s="482"/>
      <c r="G19" s="482"/>
      <c r="H19" s="482"/>
      <c r="I19" s="482"/>
      <c r="J19" s="67" t="e">
        <f>IF(AND('Mapa final'!#REF!="Alta",'Mapa final'!#REF!="Leve"),CONCATENATE("R4C",'Mapa final'!#REF!),"")</f>
        <v>#REF!</v>
      </c>
      <c r="K19" s="68" t="e">
        <f>IF(AND('Mapa final'!#REF!="Alta",'Mapa final'!#REF!="Leve"),CONCATENATE("R4C",'Mapa final'!#REF!),"")</f>
        <v>#REF!</v>
      </c>
      <c r="L19" s="68" t="e">
        <f>IF(AND('Mapa final'!#REF!="Alta",'Mapa final'!#REF!="Leve"),CONCATENATE("R4C",'Mapa final'!#REF!),"")</f>
        <v>#REF!</v>
      </c>
      <c r="M19" s="68" t="e">
        <f>IF(AND('Mapa final'!#REF!="Alta",'Mapa final'!#REF!="Leve"),CONCATENATE("R4C",'Mapa final'!#REF!),"")</f>
        <v>#REF!</v>
      </c>
      <c r="N19" s="68" t="e">
        <f>IF(AND('Mapa final'!#REF!="Alta",'Mapa final'!#REF!="Leve"),CONCATENATE("R4C",'Mapa final'!#REF!),"")</f>
        <v>#REF!</v>
      </c>
      <c r="O19" s="69" t="e">
        <f>IF(AND('Mapa final'!#REF!="Alta",'Mapa final'!#REF!="Leve"),CONCATENATE("R4C",'Mapa final'!#REF!),"")</f>
        <v>#REF!</v>
      </c>
      <c r="P19" s="67" t="e">
        <f>IF(AND('Mapa final'!#REF!="Alta",'Mapa final'!#REF!="Menor"),CONCATENATE("R4C",'Mapa final'!#REF!),"")</f>
        <v>#REF!</v>
      </c>
      <c r="Q19" s="68" t="e">
        <f>IF(AND('Mapa final'!#REF!="Alta",'Mapa final'!#REF!="Menor"),CONCATENATE("R4C",'Mapa final'!#REF!),"")</f>
        <v>#REF!</v>
      </c>
      <c r="R19" s="68" t="e">
        <f>IF(AND('Mapa final'!#REF!="Alta",'Mapa final'!#REF!="Menor"),CONCATENATE("R4C",'Mapa final'!#REF!),"")</f>
        <v>#REF!</v>
      </c>
      <c r="S19" s="68" t="e">
        <f>IF(AND('Mapa final'!#REF!="Alta",'Mapa final'!#REF!="Menor"),CONCATENATE("R4C",'Mapa final'!#REF!),"")</f>
        <v>#REF!</v>
      </c>
      <c r="T19" s="68" t="e">
        <f>IF(AND('Mapa final'!#REF!="Alta",'Mapa final'!#REF!="Menor"),CONCATENATE("R4C",'Mapa final'!#REF!),"")</f>
        <v>#REF!</v>
      </c>
      <c r="U19" s="69" t="e">
        <f>IF(AND('Mapa final'!#REF!="Alta",'Mapa final'!#REF!="Menor"),CONCATENATE("R4C",'Mapa final'!#REF!),"")</f>
        <v>#REF!</v>
      </c>
      <c r="V19" s="52" t="e">
        <f>IF(AND('Mapa final'!#REF!="Alta",'Mapa final'!#REF!="Moderado"),CONCATENATE("R4C",'Mapa final'!#REF!),"")</f>
        <v>#REF!</v>
      </c>
      <c r="W19" s="53" t="e">
        <f>IF(AND('Mapa final'!#REF!="Alta",'Mapa final'!#REF!="Moderado"),CONCATENATE("R4C",'Mapa final'!#REF!),"")</f>
        <v>#REF!</v>
      </c>
      <c r="X19" s="53" t="e">
        <f>IF(AND('Mapa final'!#REF!="Alta",'Mapa final'!#REF!="Moderado"),CONCATENATE("R4C",'Mapa final'!#REF!),"")</f>
        <v>#REF!</v>
      </c>
      <c r="Y19" s="53" t="e">
        <f>IF(AND('Mapa final'!#REF!="Alta",'Mapa final'!#REF!="Moderado"),CONCATENATE("R4C",'Mapa final'!#REF!),"")</f>
        <v>#REF!</v>
      </c>
      <c r="Z19" s="53" t="e">
        <f>IF(AND('Mapa final'!#REF!="Alta",'Mapa final'!#REF!="Moderado"),CONCATENATE("R4C",'Mapa final'!#REF!),"")</f>
        <v>#REF!</v>
      </c>
      <c r="AA19" s="54" t="e">
        <f>IF(AND('Mapa final'!#REF!="Alta",'Mapa final'!#REF!="Moderado"),CONCATENATE("R4C",'Mapa final'!#REF!),"")</f>
        <v>#REF!</v>
      </c>
      <c r="AB19" s="52" t="e">
        <f>IF(AND('Mapa final'!#REF!="Alta",'Mapa final'!#REF!="Mayor"),CONCATENATE("R4C",'Mapa final'!#REF!),"")</f>
        <v>#REF!</v>
      </c>
      <c r="AC19" s="53" t="e">
        <f>IF(AND('Mapa final'!#REF!="Alta",'Mapa final'!#REF!="Mayor"),CONCATENATE("R4C",'Mapa final'!#REF!),"")</f>
        <v>#REF!</v>
      </c>
      <c r="AD19" s="53" t="e">
        <f>IF(AND('Mapa final'!#REF!="Alta",'Mapa final'!#REF!="Mayor"),CONCATENATE("R4C",'Mapa final'!#REF!),"")</f>
        <v>#REF!</v>
      </c>
      <c r="AE19" s="53" t="e">
        <f>IF(AND('Mapa final'!#REF!="Alta",'Mapa final'!#REF!="Mayor"),CONCATENATE("R4C",'Mapa final'!#REF!),"")</f>
        <v>#REF!</v>
      </c>
      <c r="AF19" s="53" t="e">
        <f>IF(AND('Mapa final'!#REF!="Alta",'Mapa final'!#REF!="Mayor"),CONCATENATE("R4C",'Mapa final'!#REF!),"")</f>
        <v>#REF!</v>
      </c>
      <c r="AG19" s="54" t="e">
        <f>IF(AND('Mapa final'!#REF!="Alta",'Mapa final'!#REF!="Mayor"),CONCATENATE("R4C",'Mapa final'!#REF!),"")</f>
        <v>#REF!</v>
      </c>
      <c r="AH19" s="55" t="e">
        <f>IF(AND('Mapa final'!#REF!="Alta",'Mapa final'!#REF!="Catastrófico"),CONCATENATE("R4C",'Mapa final'!#REF!),"")</f>
        <v>#REF!</v>
      </c>
      <c r="AI19" s="56" t="e">
        <f>IF(AND('Mapa final'!#REF!="Alta",'Mapa final'!#REF!="Catastrófico"),CONCATENATE("R4C",'Mapa final'!#REF!),"")</f>
        <v>#REF!</v>
      </c>
      <c r="AJ19" s="56" t="e">
        <f>IF(AND('Mapa final'!#REF!="Alta",'Mapa final'!#REF!="Catastrófico"),CONCATENATE("R4C",'Mapa final'!#REF!),"")</f>
        <v>#REF!</v>
      </c>
      <c r="AK19" s="56" t="e">
        <f>IF(AND('Mapa final'!#REF!="Alta",'Mapa final'!#REF!="Catastrófico"),CONCATENATE("R4C",'Mapa final'!#REF!),"")</f>
        <v>#REF!</v>
      </c>
      <c r="AL19" s="56" t="e">
        <f>IF(AND('Mapa final'!#REF!="Alta",'Mapa final'!#REF!="Catastrófico"),CONCATENATE("R4C",'Mapa final'!#REF!),"")</f>
        <v>#REF!</v>
      </c>
      <c r="AM19" s="57" t="e">
        <f>IF(AND('Mapa final'!#REF!="Alta",'Mapa final'!#REF!="Catastrófico"),CONCATENATE("R4C",'Mapa final'!#REF!),"")</f>
        <v>#REF!</v>
      </c>
      <c r="AN19" s="83"/>
      <c r="AO19" s="473"/>
      <c r="AP19" s="474"/>
      <c r="AQ19" s="474"/>
      <c r="AR19" s="474"/>
      <c r="AS19" s="474"/>
      <c r="AT19" s="47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384"/>
      <c r="C20" s="384"/>
      <c r="D20" s="385"/>
      <c r="E20" s="483"/>
      <c r="F20" s="482"/>
      <c r="G20" s="482"/>
      <c r="H20" s="482"/>
      <c r="I20" s="482"/>
      <c r="J20" s="67" t="e">
        <f>IF(AND('Mapa final'!#REF!="Alta",'Mapa final'!#REF!="Leve"),CONCATENATE("R5C",'Mapa final'!#REF!),"")</f>
        <v>#REF!</v>
      </c>
      <c r="K20" s="68" t="e">
        <f>IF(AND('Mapa final'!#REF!="Alta",'Mapa final'!#REF!="Leve"),CONCATENATE("R5C",'Mapa final'!#REF!),"")</f>
        <v>#REF!</v>
      </c>
      <c r="L20" s="68" t="e">
        <f>IF(AND('Mapa final'!#REF!="Alta",'Mapa final'!#REF!="Leve"),CONCATENATE("R5C",'Mapa final'!#REF!),"")</f>
        <v>#REF!</v>
      </c>
      <c r="M20" s="68" t="e">
        <f>IF(AND('Mapa final'!#REF!="Alta",'Mapa final'!#REF!="Leve"),CONCATENATE("R5C",'Mapa final'!#REF!),"")</f>
        <v>#REF!</v>
      </c>
      <c r="N20" s="68" t="e">
        <f>IF(AND('Mapa final'!#REF!="Alta",'Mapa final'!#REF!="Leve"),CONCATENATE("R5C",'Mapa final'!#REF!),"")</f>
        <v>#REF!</v>
      </c>
      <c r="O20" s="69" t="e">
        <f>IF(AND('Mapa final'!#REF!="Alta",'Mapa final'!#REF!="Leve"),CONCATENATE("R5C",'Mapa final'!#REF!),"")</f>
        <v>#REF!</v>
      </c>
      <c r="P20" s="67" t="e">
        <f>IF(AND('Mapa final'!#REF!="Alta",'Mapa final'!#REF!="Menor"),CONCATENATE("R5C",'Mapa final'!#REF!),"")</f>
        <v>#REF!</v>
      </c>
      <c r="Q20" s="68" t="e">
        <f>IF(AND('Mapa final'!#REF!="Alta",'Mapa final'!#REF!="Menor"),CONCATENATE("R5C",'Mapa final'!#REF!),"")</f>
        <v>#REF!</v>
      </c>
      <c r="R20" s="68" t="e">
        <f>IF(AND('Mapa final'!#REF!="Alta",'Mapa final'!#REF!="Menor"),CONCATENATE("R5C",'Mapa final'!#REF!),"")</f>
        <v>#REF!</v>
      </c>
      <c r="S20" s="68" t="e">
        <f>IF(AND('Mapa final'!#REF!="Alta",'Mapa final'!#REF!="Menor"),CONCATENATE("R5C",'Mapa final'!#REF!),"")</f>
        <v>#REF!</v>
      </c>
      <c r="T20" s="68" t="e">
        <f>IF(AND('Mapa final'!#REF!="Alta",'Mapa final'!#REF!="Menor"),CONCATENATE("R5C",'Mapa final'!#REF!),"")</f>
        <v>#REF!</v>
      </c>
      <c r="U20" s="69" t="e">
        <f>IF(AND('Mapa final'!#REF!="Alta",'Mapa final'!#REF!="Menor"),CONCATENATE("R5C",'Mapa final'!#REF!),"")</f>
        <v>#REF!</v>
      </c>
      <c r="V20" s="52" t="e">
        <f>IF(AND('Mapa final'!#REF!="Alta",'Mapa final'!#REF!="Moderado"),CONCATENATE("R5C",'Mapa final'!#REF!),"")</f>
        <v>#REF!</v>
      </c>
      <c r="W20" s="53" t="e">
        <f>IF(AND('Mapa final'!#REF!="Alta",'Mapa final'!#REF!="Moderado"),CONCATENATE("R5C",'Mapa final'!#REF!),"")</f>
        <v>#REF!</v>
      </c>
      <c r="X20" s="53" t="e">
        <f>IF(AND('Mapa final'!#REF!="Alta",'Mapa final'!#REF!="Moderado"),CONCATENATE("R5C",'Mapa final'!#REF!),"")</f>
        <v>#REF!</v>
      </c>
      <c r="Y20" s="53" t="e">
        <f>IF(AND('Mapa final'!#REF!="Alta",'Mapa final'!#REF!="Moderado"),CONCATENATE("R5C",'Mapa final'!#REF!),"")</f>
        <v>#REF!</v>
      </c>
      <c r="Z20" s="53" t="e">
        <f>IF(AND('Mapa final'!#REF!="Alta",'Mapa final'!#REF!="Moderado"),CONCATENATE("R5C",'Mapa final'!#REF!),"")</f>
        <v>#REF!</v>
      </c>
      <c r="AA20" s="54" t="e">
        <f>IF(AND('Mapa final'!#REF!="Alta",'Mapa final'!#REF!="Moderado"),CONCATENATE("R5C",'Mapa final'!#REF!),"")</f>
        <v>#REF!</v>
      </c>
      <c r="AB20" s="52" t="e">
        <f>IF(AND('Mapa final'!#REF!="Alta",'Mapa final'!#REF!="Mayor"),CONCATENATE("R5C",'Mapa final'!#REF!),"")</f>
        <v>#REF!</v>
      </c>
      <c r="AC20" s="53" t="e">
        <f>IF(AND('Mapa final'!#REF!="Alta",'Mapa final'!#REF!="Mayor"),CONCATENATE("R5C",'Mapa final'!#REF!),"")</f>
        <v>#REF!</v>
      </c>
      <c r="AD20" s="53" t="e">
        <f>IF(AND('Mapa final'!#REF!="Alta",'Mapa final'!#REF!="Mayor"),CONCATENATE("R5C",'Mapa final'!#REF!),"")</f>
        <v>#REF!</v>
      </c>
      <c r="AE20" s="53" t="e">
        <f>IF(AND('Mapa final'!#REF!="Alta",'Mapa final'!#REF!="Mayor"),CONCATENATE("R5C",'Mapa final'!#REF!),"")</f>
        <v>#REF!</v>
      </c>
      <c r="AF20" s="53" t="e">
        <f>IF(AND('Mapa final'!#REF!="Alta",'Mapa final'!#REF!="Mayor"),CONCATENATE("R5C",'Mapa final'!#REF!),"")</f>
        <v>#REF!</v>
      </c>
      <c r="AG20" s="54" t="e">
        <f>IF(AND('Mapa final'!#REF!="Alta",'Mapa final'!#REF!="Mayor"),CONCATENATE("R5C",'Mapa final'!#REF!),"")</f>
        <v>#REF!</v>
      </c>
      <c r="AH20" s="55" t="e">
        <f>IF(AND('Mapa final'!#REF!="Alta",'Mapa final'!#REF!="Catastrófico"),CONCATENATE("R5C",'Mapa final'!#REF!),"")</f>
        <v>#REF!</v>
      </c>
      <c r="AI20" s="56" t="e">
        <f>IF(AND('Mapa final'!#REF!="Alta",'Mapa final'!#REF!="Catastrófico"),CONCATENATE("R5C",'Mapa final'!#REF!),"")</f>
        <v>#REF!</v>
      </c>
      <c r="AJ20" s="56" t="e">
        <f>IF(AND('Mapa final'!#REF!="Alta",'Mapa final'!#REF!="Catastrófico"),CONCATENATE("R5C",'Mapa final'!#REF!),"")</f>
        <v>#REF!</v>
      </c>
      <c r="AK20" s="56" t="e">
        <f>IF(AND('Mapa final'!#REF!="Alta",'Mapa final'!#REF!="Catastrófico"),CONCATENATE("R5C",'Mapa final'!#REF!),"")</f>
        <v>#REF!</v>
      </c>
      <c r="AL20" s="56" t="e">
        <f>IF(AND('Mapa final'!#REF!="Alta",'Mapa final'!#REF!="Catastrófico"),CONCATENATE("R5C",'Mapa final'!#REF!),"")</f>
        <v>#REF!</v>
      </c>
      <c r="AM20" s="57" t="e">
        <f>IF(AND('Mapa final'!#REF!="Alta",'Mapa final'!#REF!="Catastrófico"),CONCATENATE("R5C",'Mapa final'!#REF!),"")</f>
        <v>#REF!</v>
      </c>
      <c r="AN20" s="83"/>
      <c r="AO20" s="473"/>
      <c r="AP20" s="474"/>
      <c r="AQ20" s="474"/>
      <c r="AR20" s="474"/>
      <c r="AS20" s="474"/>
      <c r="AT20" s="47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384"/>
      <c r="C21" s="384"/>
      <c r="D21" s="385"/>
      <c r="E21" s="483"/>
      <c r="F21" s="482"/>
      <c r="G21" s="482"/>
      <c r="H21" s="482"/>
      <c r="I21" s="482"/>
      <c r="J21" s="67" t="e">
        <f>IF(AND('Mapa final'!#REF!="Alta",'Mapa final'!#REF!="Leve"),CONCATENATE("R6C",'Mapa final'!#REF!),"")</f>
        <v>#REF!</v>
      </c>
      <c r="K21" s="68" t="e">
        <f>IF(AND('Mapa final'!#REF!="Alta",'Mapa final'!#REF!="Leve"),CONCATENATE("R6C",'Mapa final'!#REF!),"")</f>
        <v>#REF!</v>
      </c>
      <c r="L21" s="68" t="e">
        <f>IF(AND('Mapa final'!#REF!="Alta",'Mapa final'!#REF!="Leve"),CONCATENATE("R6C",'Mapa final'!#REF!),"")</f>
        <v>#REF!</v>
      </c>
      <c r="M21" s="68" t="e">
        <f>IF(AND('Mapa final'!#REF!="Alta",'Mapa final'!#REF!="Leve"),CONCATENATE("R6C",'Mapa final'!#REF!),"")</f>
        <v>#REF!</v>
      </c>
      <c r="N21" s="68" t="e">
        <f>IF(AND('Mapa final'!#REF!="Alta",'Mapa final'!#REF!="Leve"),CONCATENATE("R6C",'Mapa final'!#REF!),"")</f>
        <v>#REF!</v>
      </c>
      <c r="O21" s="69" t="e">
        <f>IF(AND('Mapa final'!#REF!="Alta",'Mapa final'!#REF!="Leve"),CONCATENATE("R6C",'Mapa final'!#REF!),"")</f>
        <v>#REF!</v>
      </c>
      <c r="P21" s="67" t="e">
        <f>IF(AND('Mapa final'!#REF!="Alta",'Mapa final'!#REF!="Menor"),CONCATENATE("R6C",'Mapa final'!#REF!),"")</f>
        <v>#REF!</v>
      </c>
      <c r="Q21" s="68" t="e">
        <f>IF(AND('Mapa final'!#REF!="Alta",'Mapa final'!#REF!="Menor"),CONCATENATE("R6C",'Mapa final'!#REF!),"")</f>
        <v>#REF!</v>
      </c>
      <c r="R21" s="68" t="e">
        <f>IF(AND('Mapa final'!#REF!="Alta",'Mapa final'!#REF!="Menor"),CONCATENATE("R6C",'Mapa final'!#REF!),"")</f>
        <v>#REF!</v>
      </c>
      <c r="S21" s="68" t="e">
        <f>IF(AND('Mapa final'!#REF!="Alta",'Mapa final'!#REF!="Menor"),CONCATENATE("R6C",'Mapa final'!#REF!),"")</f>
        <v>#REF!</v>
      </c>
      <c r="T21" s="68" t="e">
        <f>IF(AND('Mapa final'!#REF!="Alta",'Mapa final'!#REF!="Menor"),CONCATENATE("R6C",'Mapa final'!#REF!),"")</f>
        <v>#REF!</v>
      </c>
      <c r="U21" s="69" t="e">
        <f>IF(AND('Mapa final'!#REF!="Alta",'Mapa final'!#REF!="Menor"),CONCATENATE("R6C",'Mapa final'!#REF!),"")</f>
        <v>#REF!</v>
      </c>
      <c r="V21" s="52" t="e">
        <f>IF(AND('Mapa final'!#REF!="Alta",'Mapa final'!#REF!="Moderado"),CONCATENATE("R6C",'Mapa final'!#REF!),"")</f>
        <v>#REF!</v>
      </c>
      <c r="W21" s="53" t="e">
        <f>IF(AND('Mapa final'!#REF!="Alta",'Mapa final'!#REF!="Moderado"),CONCATENATE("R6C",'Mapa final'!#REF!),"")</f>
        <v>#REF!</v>
      </c>
      <c r="X21" s="53" t="e">
        <f>IF(AND('Mapa final'!#REF!="Alta",'Mapa final'!#REF!="Moderado"),CONCATENATE("R6C",'Mapa final'!#REF!),"")</f>
        <v>#REF!</v>
      </c>
      <c r="Y21" s="53" t="e">
        <f>IF(AND('Mapa final'!#REF!="Alta",'Mapa final'!#REF!="Moderado"),CONCATENATE("R6C",'Mapa final'!#REF!),"")</f>
        <v>#REF!</v>
      </c>
      <c r="Z21" s="53" t="e">
        <f>IF(AND('Mapa final'!#REF!="Alta",'Mapa final'!#REF!="Moderado"),CONCATENATE("R6C",'Mapa final'!#REF!),"")</f>
        <v>#REF!</v>
      </c>
      <c r="AA21" s="54" t="e">
        <f>IF(AND('Mapa final'!#REF!="Alta",'Mapa final'!#REF!="Moderado"),CONCATENATE("R6C",'Mapa final'!#REF!),"")</f>
        <v>#REF!</v>
      </c>
      <c r="AB21" s="52" t="e">
        <f>IF(AND('Mapa final'!#REF!="Alta",'Mapa final'!#REF!="Mayor"),CONCATENATE("R6C",'Mapa final'!#REF!),"")</f>
        <v>#REF!</v>
      </c>
      <c r="AC21" s="53" t="e">
        <f>IF(AND('Mapa final'!#REF!="Alta",'Mapa final'!#REF!="Mayor"),CONCATENATE("R6C",'Mapa final'!#REF!),"")</f>
        <v>#REF!</v>
      </c>
      <c r="AD21" s="53" t="e">
        <f>IF(AND('Mapa final'!#REF!="Alta",'Mapa final'!#REF!="Mayor"),CONCATENATE("R6C",'Mapa final'!#REF!),"")</f>
        <v>#REF!</v>
      </c>
      <c r="AE21" s="53" t="e">
        <f>IF(AND('Mapa final'!#REF!="Alta",'Mapa final'!#REF!="Mayor"),CONCATENATE("R6C",'Mapa final'!#REF!),"")</f>
        <v>#REF!</v>
      </c>
      <c r="AF21" s="53" t="e">
        <f>IF(AND('Mapa final'!#REF!="Alta",'Mapa final'!#REF!="Mayor"),CONCATENATE("R6C",'Mapa final'!#REF!),"")</f>
        <v>#REF!</v>
      </c>
      <c r="AG21" s="54" t="e">
        <f>IF(AND('Mapa final'!#REF!="Alta",'Mapa final'!#REF!="Mayor"),CONCATENATE("R6C",'Mapa final'!#REF!),"")</f>
        <v>#REF!</v>
      </c>
      <c r="AH21" s="55" t="e">
        <f>IF(AND('Mapa final'!#REF!="Alta",'Mapa final'!#REF!="Catastrófico"),CONCATENATE("R6C",'Mapa final'!#REF!),"")</f>
        <v>#REF!</v>
      </c>
      <c r="AI21" s="56" t="e">
        <f>IF(AND('Mapa final'!#REF!="Alta",'Mapa final'!#REF!="Catastrófico"),CONCATENATE("R6C",'Mapa final'!#REF!),"")</f>
        <v>#REF!</v>
      </c>
      <c r="AJ21" s="56" t="e">
        <f>IF(AND('Mapa final'!#REF!="Alta",'Mapa final'!#REF!="Catastrófico"),CONCATENATE("R6C",'Mapa final'!#REF!),"")</f>
        <v>#REF!</v>
      </c>
      <c r="AK21" s="56" t="e">
        <f>IF(AND('Mapa final'!#REF!="Alta",'Mapa final'!#REF!="Catastrófico"),CONCATENATE("R6C",'Mapa final'!#REF!),"")</f>
        <v>#REF!</v>
      </c>
      <c r="AL21" s="56" t="e">
        <f>IF(AND('Mapa final'!#REF!="Alta",'Mapa final'!#REF!="Catastrófico"),CONCATENATE("R6C",'Mapa final'!#REF!),"")</f>
        <v>#REF!</v>
      </c>
      <c r="AM21" s="57" t="e">
        <f>IF(AND('Mapa final'!#REF!="Alta",'Mapa final'!#REF!="Catastrófico"),CONCATENATE("R6C",'Mapa final'!#REF!),"")</f>
        <v>#REF!</v>
      </c>
      <c r="AN21" s="83"/>
      <c r="AO21" s="473"/>
      <c r="AP21" s="474"/>
      <c r="AQ21" s="474"/>
      <c r="AR21" s="474"/>
      <c r="AS21" s="474"/>
      <c r="AT21" s="47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384"/>
      <c r="C22" s="384"/>
      <c r="D22" s="385"/>
      <c r="E22" s="483"/>
      <c r="F22" s="482"/>
      <c r="G22" s="482"/>
      <c r="H22" s="482"/>
      <c r="I22" s="482"/>
      <c r="J22" s="67" t="e">
        <f>IF(AND('Mapa final'!#REF!="Alta",'Mapa final'!#REF!="Leve"),CONCATENATE("R7C",'Mapa final'!#REF!),"")</f>
        <v>#REF!</v>
      </c>
      <c r="K22" s="68" t="e">
        <f>IF(AND('Mapa final'!#REF!="Alta",'Mapa final'!#REF!="Leve"),CONCATENATE("R7C",'Mapa final'!#REF!),"")</f>
        <v>#REF!</v>
      </c>
      <c r="L22" s="68" t="e">
        <f>IF(AND('Mapa final'!#REF!="Alta",'Mapa final'!#REF!="Leve"),CONCATENATE("R7C",'Mapa final'!#REF!),"")</f>
        <v>#REF!</v>
      </c>
      <c r="M22" s="68" t="e">
        <f>IF(AND('Mapa final'!#REF!="Alta",'Mapa final'!#REF!="Leve"),CONCATENATE("R7C",'Mapa final'!#REF!),"")</f>
        <v>#REF!</v>
      </c>
      <c r="N22" s="68" t="e">
        <f>IF(AND('Mapa final'!#REF!="Alta",'Mapa final'!#REF!="Leve"),CONCATENATE("R7C",'Mapa final'!#REF!),"")</f>
        <v>#REF!</v>
      </c>
      <c r="O22" s="69" t="e">
        <f>IF(AND('Mapa final'!#REF!="Alta",'Mapa final'!#REF!="Leve"),CONCATENATE("R7C",'Mapa final'!#REF!),"")</f>
        <v>#REF!</v>
      </c>
      <c r="P22" s="67" t="e">
        <f>IF(AND('Mapa final'!#REF!="Alta",'Mapa final'!#REF!="Menor"),CONCATENATE("R7C",'Mapa final'!#REF!),"")</f>
        <v>#REF!</v>
      </c>
      <c r="Q22" s="68" t="e">
        <f>IF(AND('Mapa final'!#REF!="Alta",'Mapa final'!#REF!="Menor"),CONCATENATE("R7C",'Mapa final'!#REF!),"")</f>
        <v>#REF!</v>
      </c>
      <c r="R22" s="68" t="e">
        <f>IF(AND('Mapa final'!#REF!="Alta",'Mapa final'!#REF!="Menor"),CONCATENATE("R7C",'Mapa final'!#REF!),"")</f>
        <v>#REF!</v>
      </c>
      <c r="S22" s="68" t="e">
        <f>IF(AND('Mapa final'!#REF!="Alta",'Mapa final'!#REF!="Menor"),CONCATENATE("R7C",'Mapa final'!#REF!),"")</f>
        <v>#REF!</v>
      </c>
      <c r="T22" s="68" t="e">
        <f>IF(AND('Mapa final'!#REF!="Alta",'Mapa final'!#REF!="Menor"),CONCATENATE("R7C",'Mapa final'!#REF!),"")</f>
        <v>#REF!</v>
      </c>
      <c r="U22" s="69" t="e">
        <f>IF(AND('Mapa final'!#REF!="Alta",'Mapa final'!#REF!="Menor"),CONCATENATE("R7C",'Mapa final'!#REF!),"")</f>
        <v>#REF!</v>
      </c>
      <c r="V22" s="52" t="e">
        <f>IF(AND('Mapa final'!#REF!="Alta",'Mapa final'!#REF!="Moderado"),CONCATENATE("R7C",'Mapa final'!#REF!),"")</f>
        <v>#REF!</v>
      </c>
      <c r="W22" s="53" t="e">
        <f>IF(AND('Mapa final'!#REF!="Alta",'Mapa final'!#REF!="Moderado"),CONCATENATE("R7C",'Mapa final'!#REF!),"")</f>
        <v>#REF!</v>
      </c>
      <c r="X22" s="53" t="e">
        <f>IF(AND('Mapa final'!#REF!="Alta",'Mapa final'!#REF!="Moderado"),CONCATENATE("R7C",'Mapa final'!#REF!),"")</f>
        <v>#REF!</v>
      </c>
      <c r="Y22" s="53" t="e">
        <f>IF(AND('Mapa final'!#REF!="Alta",'Mapa final'!#REF!="Moderado"),CONCATENATE("R7C",'Mapa final'!#REF!),"")</f>
        <v>#REF!</v>
      </c>
      <c r="Z22" s="53" t="e">
        <f>IF(AND('Mapa final'!#REF!="Alta",'Mapa final'!#REF!="Moderado"),CONCATENATE("R7C",'Mapa final'!#REF!),"")</f>
        <v>#REF!</v>
      </c>
      <c r="AA22" s="54" t="e">
        <f>IF(AND('Mapa final'!#REF!="Alta",'Mapa final'!#REF!="Moderado"),CONCATENATE("R7C",'Mapa final'!#REF!),"")</f>
        <v>#REF!</v>
      </c>
      <c r="AB22" s="52" t="e">
        <f>IF(AND('Mapa final'!#REF!="Alta",'Mapa final'!#REF!="Mayor"),CONCATENATE("R7C",'Mapa final'!#REF!),"")</f>
        <v>#REF!</v>
      </c>
      <c r="AC22" s="53" t="e">
        <f>IF(AND('Mapa final'!#REF!="Alta",'Mapa final'!#REF!="Mayor"),CONCATENATE("R7C",'Mapa final'!#REF!),"")</f>
        <v>#REF!</v>
      </c>
      <c r="AD22" s="53" t="e">
        <f>IF(AND('Mapa final'!#REF!="Alta",'Mapa final'!#REF!="Mayor"),CONCATENATE("R7C",'Mapa final'!#REF!),"")</f>
        <v>#REF!</v>
      </c>
      <c r="AE22" s="53" t="e">
        <f>IF(AND('Mapa final'!#REF!="Alta",'Mapa final'!#REF!="Mayor"),CONCATENATE("R7C",'Mapa final'!#REF!),"")</f>
        <v>#REF!</v>
      </c>
      <c r="AF22" s="53" t="e">
        <f>IF(AND('Mapa final'!#REF!="Alta",'Mapa final'!#REF!="Mayor"),CONCATENATE("R7C",'Mapa final'!#REF!),"")</f>
        <v>#REF!</v>
      </c>
      <c r="AG22" s="54" t="e">
        <f>IF(AND('Mapa final'!#REF!="Alta",'Mapa final'!#REF!="Mayor"),CONCATENATE("R7C",'Mapa final'!#REF!),"")</f>
        <v>#REF!</v>
      </c>
      <c r="AH22" s="55" t="e">
        <f>IF(AND('Mapa final'!#REF!="Alta",'Mapa final'!#REF!="Catastrófico"),CONCATENATE("R7C",'Mapa final'!#REF!),"")</f>
        <v>#REF!</v>
      </c>
      <c r="AI22" s="56" t="e">
        <f>IF(AND('Mapa final'!#REF!="Alta",'Mapa final'!#REF!="Catastrófico"),CONCATENATE("R7C",'Mapa final'!#REF!),"")</f>
        <v>#REF!</v>
      </c>
      <c r="AJ22" s="56" t="e">
        <f>IF(AND('Mapa final'!#REF!="Alta",'Mapa final'!#REF!="Catastrófico"),CONCATENATE("R7C",'Mapa final'!#REF!),"")</f>
        <v>#REF!</v>
      </c>
      <c r="AK22" s="56" t="e">
        <f>IF(AND('Mapa final'!#REF!="Alta",'Mapa final'!#REF!="Catastrófico"),CONCATENATE("R7C",'Mapa final'!#REF!),"")</f>
        <v>#REF!</v>
      </c>
      <c r="AL22" s="56" t="e">
        <f>IF(AND('Mapa final'!#REF!="Alta",'Mapa final'!#REF!="Catastrófico"),CONCATENATE("R7C",'Mapa final'!#REF!),"")</f>
        <v>#REF!</v>
      </c>
      <c r="AM22" s="57" t="e">
        <f>IF(AND('Mapa final'!#REF!="Alta",'Mapa final'!#REF!="Catastrófico"),CONCATENATE("R7C",'Mapa final'!#REF!),"")</f>
        <v>#REF!</v>
      </c>
      <c r="AN22" s="83"/>
      <c r="AO22" s="473"/>
      <c r="AP22" s="474"/>
      <c r="AQ22" s="474"/>
      <c r="AR22" s="474"/>
      <c r="AS22" s="474"/>
      <c r="AT22" s="47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384"/>
      <c r="C23" s="384"/>
      <c r="D23" s="385"/>
      <c r="E23" s="483"/>
      <c r="F23" s="482"/>
      <c r="G23" s="482"/>
      <c r="H23" s="482"/>
      <c r="I23" s="482"/>
      <c r="J23" s="67" t="str">
        <f>IF(AND('Mapa final'!$Y$29="Alta",'Mapa final'!$AA$29="Leve"),CONCATENATE("R8C",'Mapa final'!$O$29),"")</f>
        <v/>
      </c>
      <c r="K23" s="68" t="e">
        <f>IF(AND('Mapa final'!#REF!="Alta",'Mapa final'!#REF!="Leve"),CONCATENATE("R8C",'Mapa final'!#REF!),"")</f>
        <v>#REF!</v>
      </c>
      <c r="L23" s="68" t="e">
        <f>IF(AND('Mapa final'!#REF!="Alta",'Mapa final'!#REF!="Leve"),CONCATENATE("R8C",'Mapa final'!#REF!),"")</f>
        <v>#REF!</v>
      </c>
      <c r="M23" s="68" t="e">
        <f>IF(AND('Mapa final'!#REF!="Alta",'Mapa final'!#REF!="Leve"),CONCATENATE("R8C",'Mapa final'!#REF!),"")</f>
        <v>#REF!</v>
      </c>
      <c r="N23" s="68" t="e">
        <f>IF(AND('Mapa final'!#REF!="Alta",'Mapa final'!#REF!="Leve"),CONCATENATE("R8C",'Mapa final'!#REF!),"")</f>
        <v>#REF!</v>
      </c>
      <c r="O23" s="69" t="e">
        <f>IF(AND('Mapa final'!#REF!="Alta",'Mapa final'!#REF!="Leve"),CONCATENATE("R8C",'Mapa final'!#REF!),"")</f>
        <v>#REF!</v>
      </c>
      <c r="P23" s="67" t="str">
        <f>IF(AND('Mapa final'!$Y$29="Alta",'Mapa final'!$AA$29="Menor"),CONCATENATE("R8C",'Mapa final'!$O$29),"")</f>
        <v/>
      </c>
      <c r="Q23" s="68" t="e">
        <f>IF(AND('Mapa final'!#REF!="Alta",'Mapa final'!#REF!="Menor"),CONCATENATE("R8C",'Mapa final'!#REF!),"")</f>
        <v>#REF!</v>
      </c>
      <c r="R23" s="68" t="e">
        <f>IF(AND('Mapa final'!#REF!="Alta",'Mapa final'!#REF!="Menor"),CONCATENATE("R8C",'Mapa final'!#REF!),"")</f>
        <v>#REF!</v>
      </c>
      <c r="S23" s="68" t="e">
        <f>IF(AND('Mapa final'!#REF!="Alta",'Mapa final'!#REF!="Menor"),CONCATENATE("R8C",'Mapa final'!#REF!),"")</f>
        <v>#REF!</v>
      </c>
      <c r="T23" s="68" t="e">
        <f>IF(AND('Mapa final'!#REF!="Alta",'Mapa final'!#REF!="Menor"),CONCATENATE("R8C",'Mapa final'!#REF!),"")</f>
        <v>#REF!</v>
      </c>
      <c r="U23" s="69" t="e">
        <f>IF(AND('Mapa final'!#REF!="Alta",'Mapa final'!#REF!="Menor"),CONCATENATE("R8C",'Mapa final'!#REF!),"")</f>
        <v>#REF!</v>
      </c>
      <c r="V23" s="52" t="str">
        <f>IF(AND('Mapa final'!$Y$29="Alta",'Mapa final'!$AA$29="Moderado"),CONCATENATE("R8C",'Mapa final'!$O$29),"")</f>
        <v/>
      </c>
      <c r="W23" s="53" t="e">
        <f>IF(AND('Mapa final'!#REF!="Alta",'Mapa final'!#REF!="Moderado"),CONCATENATE("R8C",'Mapa final'!#REF!),"")</f>
        <v>#REF!</v>
      </c>
      <c r="X23" s="53" t="e">
        <f>IF(AND('Mapa final'!#REF!="Alta",'Mapa final'!#REF!="Moderado"),CONCATENATE("R8C",'Mapa final'!#REF!),"")</f>
        <v>#REF!</v>
      </c>
      <c r="Y23" s="53" t="e">
        <f>IF(AND('Mapa final'!#REF!="Alta",'Mapa final'!#REF!="Moderado"),CONCATENATE("R8C",'Mapa final'!#REF!),"")</f>
        <v>#REF!</v>
      </c>
      <c r="Z23" s="53" t="e">
        <f>IF(AND('Mapa final'!#REF!="Alta",'Mapa final'!#REF!="Moderado"),CONCATENATE("R8C",'Mapa final'!#REF!),"")</f>
        <v>#REF!</v>
      </c>
      <c r="AA23" s="54" t="e">
        <f>IF(AND('Mapa final'!#REF!="Alta",'Mapa final'!#REF!="Moderado"),CONCATENATE("R8C",'Mapa final'!#REF!),"")</f>
        <v>#REF!</v>
      </c>
      <c r="AB23" s="52" t="str">
        <f>IF(AND('Mapa final'!$Y$29="Alta",'Mapa final'!$AA$29="Mayor"),CONCATENATE("R8C",'Mapa final'!$O$29),"")</f>
        <v/>
      </c>
      <c r="AC23" s="53" t="e">
        <f>IF(AND('Mapa final'!#REF!="Alta",'Mapa final'!#REF!="Mayor"),CONCATENATE("R8C",'Mapa final'!#REF!),"")</f>
        <v>#REF!</v>
      </c>
      <c r="AD23" s="53" t="e">
        <f>IF(AND('Mapa final'!#REF!="Alta",'Mapa final'!#REF!="Mayor"),CONCATENATE("R8C",'Mapa final'!#REF!),"")</f>
        <v>#REF!</v>
      </c>
      <c r="AE23" s="53" t="e">
        <f>IF(AND('Mapa final'!#REF!="Alta",'Mapa final'!#REF!="Mayor"),CONCATENATE("R8C",'Mapa final'!#REF!),"")</f>
        <v>#REF!</v>
      </c>
      <c r="AF23" s="53" t="e">
        <f>IF(AND('Mapa final'!#REF!="Alta",'Mapa final'!#REF!="Mayor"),CONCATENATE("R8C",'Mapa final'!#REF!),"")</f>
        <v>#REF!</v>
      </c>
      <c r="AG23" s="54" t="e">
        <f>IF(AND('Mapa final'!#REF!="Alta",'Mapa final'!#REF!="Mayor"),CONCATENATE("R8C",'Mapa final'!#REF!),"")</f>
        <v>#REF!</v>
      </c>
      <c r="AH23" s="55" t="str">
        <f>IF(AND('Mapa final'!$Y$29="Alta",'Mapa final'!$AA$29="Catastrófico"),CONCATENATE("R8C",'Mapa final'!$O$29),"")</f>
        <v/>
      </c>
      <c r="AI23" s="56" t="e">
        <f>IF(AND('Mapa final'!#REF!="Alta",'Mapa final'!#REF!="Catastrófico"),CONCATENATE("R8C",'Mapa final'!#REF!),"")</f>
        <v>#REF!</v>
      </c>
      <c r="AJ23" s="56" t="e">
        <f>IF(AND('Mapa final'!#REF!="Alta",'Mapa final'!#REF!="Catastrófico"),CONCATENATE("R8C",'Mapa final'!#REF!),"")</f>
        <v>#REF!</v>
      </c>
      <c r="AK23" s="56" t="e">
        <f>IF(AND('Mapa final'!#REF!="Alta",'Mapa final'!#REF!="Catastrófico"),CONCATENATE("R8C",'Mapa final'!#REF!),"")</f>
        <v>#REF!</v>
      </c>
      <c r="AL23" s="56" t="e">
        <f>IF(AND('Mapa final'!#REF!="Alta",'Mapa final'!#REF!="Catastrófico"),CONCATENATE("R8C",'Mapa final'!#REF!),"")</f>
        <v>#REF!</v>
      </c>
      <c r="AM23" s="57" t="e">
        <f>IF(AND('Mapa final'!#REF!="Alta",'Mapa final'!#REF!="Catastrófico"),CONCATENATE("R8C",'Mapa final'!#REF!),"")</f>
        <v>#REF!</v>
      </c>
      <c r="AN23" s="83"/>
      <c r="AO23" s="473"/>
      <c r="AP23" s="474"/>
      <c r="AQ23" s="474"/>
      <c r="AR23" s="474"/>
      <c r="AS23" s="474"/>
      <c r="AT23" s="47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384"/>
      <c r="C24" s="384"/>
      <c r="D24" s="385"/>
      <c r="E24" s="483"/>
      <c r="F24" s="482"/>
      <c r="G24" s="482"/>
      <c r="H24" s="482"/>
      <c r="I24" s="482"/>
      <c r="J24" s="67" t="str">
        <f>IF(AND('Mapa final'!$Y$30="Alta",'Mapa final'!$AA$30="Leve"),CONCATENATE("R9C",'Mapa final'!$O$30),"")</f>
        <v/>
      </c>
      <c r="K24" s="68" t="str">
        <f>IF(AND('Mapa final'!$Y$31="Alta",'Mapa final'!$AA$31="Leve"),CONCATENATE("R9C",'Mapa final'!$O$31),"")</f>
        <v/>
      </c>
      <c r="L24" s="68" t="str">
        <f>IF(AND('Mapa final'!$Y$32="Alta",'Mapa final'!$AA$32="Leve"),CONCATENATE("R9C",'Mapa final'!$O$32),"")</f>
        <v/>
      </c>
      <c r="M24" s="68" t="str">
        <f>IF(AND('Mapa final'!$Y$33="Alta",'Mapa final'!$AA$33="Leve"),CONCATENATE("R9C",'Mapa final'!$O$33),"")</f>
        <v/>
      </c>
      <c r="N24" s="68" t="str">
        <f>IF(AND('Mapa final'!$Y$34="Alta",'Mapa final'!$AA$34="Leve"),CONCATENATE("R9C",'Mapa final'!$O$34),"")</f>
        <v/>
      </c>
      <c r="O24" s="69" t="str">
        <f>IF(AND('Mapa final'!$Y$35="Alta",'Mapa final'!$AA$35="Leve"),CONCATENATE("R9C",'Mapa final'!$O$35),"")</f>
        <v/>
      </c>
      <c r="P24" s="67" t="str">
        <f>IF(AND('Mapa final'!$Y$30="Alta",'Mapa final'!$AA$30="Menor"),CONCATENATE("R9C",'Mapa final'!$O$30),"")</f>
        <v/>
      </c>
      <c r="Q24" s="68" t="str">
        <f>IF(AND('Mapa final'!$Y$31="Alta",'Mapa final'!$AA$31="Menor"),CONCATENATE("R9C",'Mapa final'!$O$31),"")</f>
        <v/>
      </c>
      <c r="R24" s="68" t="str">
        <f>IF(AND('Mapa final'!$Y$32="Alta",'Mapa final'!$AA$32="Menor"),CONCATENATE("R9C",'Mapa final'!$O$32),"")</f>
        <v/>
      </c>
      <c r="S24" s="68" t="str">
        <f>IF(AND('Mapa final'!$Y$33="Alta",'Mapa final'!$AA$33="Menor"),CONCATENATE("R9C",'Mapa final'!$O$33),"")</f>
        <v/>
      </c>
      <c r="T24" s="68" t="str">
        <f>IF(AND('Mapa final'!$Y$34="Alta",'Mapa final'!$AA$34="Menor"),CONCATENATE("R9C",'Mapa final'!$O$34),"")</f>
        <v/>
      </c>
      <c r="U24" s="69" t="str">
        <f>IF(AND('Mapa final'!$Y$35="Alta",'Mapa final'!$AA$35="Menor"),CONCATENATE("R9C",'Mapa final'!$O$35),"")</f>
        <v/>
      </c>
      <c r="V24" s="52" t="str">
        <f>IF(AND('Mapa final'!$Y$30="Alta",'Mapa final'!$AA$30="Moderado"),CONCATENATE("R9C",'Mapa final'!$O$30),"")</f>
        <v/>
      </c>
      <c r="W24" s="53" t="str">
        <f>IF(AND('Mapa final'!$Y$31="Alta",'Mapa final'!$AA$31="Moderado"),CONCATENATE("R9C",'Mapa final'!$O$31),"")</f>
        <v/>
      </c>
      <c r="X24" s="53" t="str">
        <f>IF(AND('Mapa final'!$Y$32="Alta",'Mapa final'!$AA$32="Moderado"),CONCATENATE("R9C",'Mapa final'!$O$32),"")</f>
        <v/>
      </c>
      <c r="Y24" s="53" t="str">
        <f>IF(AND('Mapa final'!$Y$33="Alta",'Mapa final'!$AA$33="Moderado"),CONCATENATE("R9C",'Mapa final'!$O$33),"")</f>
        <v/>
      </c>
      <c r="Z24" s="53" t="str">
        <f>IF(AND('Mapa final'!$Y$34="Alta",'Mapa final'!$AA$34="Moderado"),CONCATENATE("R9C",'Mapa final'!$O$34),"")</f>
        <v/>
      </c>
      <c r="AA24" s="54" t="str">
        <f>IF(AND('Mapa final'!$Y$35="Alta",'Mapa final'!$AA$35="Moderado"),CONCATENATE("R9C",'Mapa final'!$O$35),"")</f>
        <v/>
      </c>
      <c r="AB24" s="52" t="str">
        <f>IF(AND('Mapa final'!$Y$30="Alta",'Mapa final'!$AA$30="Mayor"),CONCATENATE("R9C",'Mapa final'!$O$30),"")</f>
        <v/>
      </c>
      <c r="AC24" s="53" t="str">
        <f>IF(AND('Mapa final'!$Y$31="Alta",'Mapa final'!$AA$31="Mayor"),CONCATENATE("R9C",'Mapa final'!$O$31),"")</f>
        <v/>
      </c>
      <c r="AD24" s="53" t="str">
        <f>IF(AND('Mapa final'!$Y$32="Alta",'Mapa final'!$AA$32="Mayor"),CONCATENATE("R9C",'Mapa final'!$O$32),"")</f>
        <v/>
      </c>
      <c r="AE24" s="53" t="str">
        <f>IF(AND('Mapa final'!$Y$33="Alta",'Mapa final'!$AA$33="Mayor"),CONCATENATE("R9C",'Mapa final'!$O$33),"")</f>
        <v/>
      </c>
      <c r="AF24" s="53" t="str">
        <f>IF(AND('Mapa final'!$Y$34="Alta",'Mapa final'!$AA$34="Mayor"),CONCATENATE("R9C",'Mapa final'!$O$34),"")</f>
        <v/>
      </c>
      <c r="AG24" s="54" t="str">
        <f>IF(AND('Mapa final'!$Y$35="Alta",'Mapa final'!$AA$35="Mayor"),CONCATENATE("R9C",'Mapa final'!$O$35),"")</f>
        <v/>
      </c>
      <c r="AH24" s="55" t="str">
        <f>IF(AND('Mapa final'!$Y$30="Alta",'Mapa final'!$AA$30="Catastrófico"),CONCATENATE("R9C",'Mapa final'!$O$30),"")</f>
        <v/>
      </c>
      <c r="AI24" s="56" t="str">
        <f>IF(AND('Mapa final'!$Y$31="Alta",'Mapa final'!$AA$31="Catastrófico"),CONCATENATE("R9C",'Mapa final'!$O$31),"")</f>
        <v/>
      </c>
      <c r="AJ24" s="56" t="str">
        <f>IF(AND('Mapa final'!$Y$32="Alta",'Mapa final'!$AA$32="Catastrófico"),CONCATENATE("R9C",'Mapa final'!$O$32),"")</f>
        <v/>
      </c>
      <c r="AK24" s="56" t="str">
        <f>IF(AND('Mapa final'!$Y$33="Alta",'Mapa final'!$AA$33="Catastrófico"),CONCATENATE("R9C",'Mapa final'!$O$33),"")</f>
        <v/>
      </c>
      <c r="AL24" s="56" t="str">
        <f>IF(AND('Mapa final'!$Y$34="Alta",'Mapa final'!$AA$34="Catastrófico"),CONCATENATE("R9C",'Mapa final'!$O$34),"")</f>
        <v/>
      </c>
      <c r="AM24" s="57" t="str">
        <f>IF(AND('Mapa final'!$Y$35="Alta",'Mapa final'!$AA$35="Catastrófico"),CONCATENATE("R9C",'Mapa final'!$O$35),"")</f>
        <v/>
      </c>
      <c r="AN24" s="83"/>
      <c r="AO24" s="473"/>
      <c r="AP24" s="474"/>
      <c r="AQ24" s="474"/>
      <c r="AR24" s="474"/>
      <c r="AS24" s="474"/>
      <c r="AT24" s="47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384"/>
      <c r="C25" s="384"/>
      <c r="D25" s="385"/>
      <c r="E25" s="484"/>
      <c r="F25" s="485"/>
      <c r="G25" s="485"/>
      <c r="H25" s="485"/>
      <c r="I25" s="485"/>
      <c r="J25" s="70" t="str">
        <f>IF(AND('Mapa final'!$Y$36="Alta",'Mapa final'!$AA$36="Leve"),CONCATENATE("R10C",'Mapa final'!$O$36),"")</f>
        <v/>
      </c>
      <c r="K25" s="71" t="str">
        <f>IF(AND('Mapa final'!$Y$37="Alta",'Mapa final'!$AA$37="Leve"),CONCATENATE("R10C",'Mapa final'!$O$37),"")</f>
        <v/>
      </c>
      <c r="L25" s="71" t="str">
        <f>IF(AND('Mapa final'!$Y$38="Alta",'Mapa final'!$AA$38="Leve"),CONCATENATE("R10C",'Mapa final'!$O$38),"")</f>
        <v/>
      </c>
      <c r="M25" s="71" t="str">
        <f>IF(AND('Mapa final'!$Y$39="Alta",'Mapa final'!$AA$39="Leve"),CONCATENATE("R10C",'Mapa final'!$O$39),"")</f>
        <v/>
      </c>
      <c r="N25" s="71" t="str">
        <f>IF(AND('Mapa final'!$Y$40="Alta",'Mapa final'!$AA$40="Leve"),CONCATENATE("R10C",'Mapa final'!$O$40),"")</f>
        <v/>
      </c>
      <c r="O25" s="72" t="str">
        <f>IF(AND('Mapa final'!$Y$41="Alta",'Mapa final'!$AA$41="Leve"),CONCATENATE("R10C",'Mapa final'!$O$41),"")</f>
        <v/>
      </c>
      <c r="P25" s="70" t="str">
        <f>IF(AND('Mapa final'!$Y$36="Alta",'Mapa final'!$AA$36="Menor"),CONCATENATE("R10C",'Mapa final'!$O$36),"")</f>
        <v/>
      </c>
      <c r="Q25" s="71" t="str">
        <f>IF(AND('Mapa final'!$Y$37="Alta",'Mapa final'!$AA$37="Menor"),CONCATENATE("R10C",'Mapa final'!$O$37),"")</f>
        <v/>
      </c>
      <c r="R25" s="71" t="str">
        <f>IF(AND('Mapa final'!$Y$38="Alta",'Mapa final'!$AA$38="Menor"),CONCATENATE("R10C",'Mapa final'!$O$38),"")</f>
        <v/>
      </c>
      <c r="S25" s="71" t="str">
        <f>IF(AND('Mapa final'!$Y$39="Alta",'Mapa final'!$AA$39="Menor"),CONCATENATE("R10C",'Mapa final'!$O$39),"")</f>
        <v/>
      </c>
      <c r="T25" s="71" t="str">
        <f>IF(AND('Mapa final'!$Y$40="Alta",'Mapa final'!$AA$40="Menor"),CONCATENATE("R10C",'Mapa final'!$O$40),"")</f>
        <v/>
      </c>
      <c r="U25" s="72" t="str">
        <f>IF(AND('Mapa final'!$Y$41="Alta",'Mapa final'!$AA$41="Menor"),CONCATENATE("R10C",'Mapa final'!$O$41),"")</f>
        <v/>
      </c>
      <c r="V25" s="58" t="str">
        <f>IF(AND('Mapa final'!$Y$36="Alta",'Mapa final'!$AA$36="Moderado"),CONCATENATE("R10C",'Mapa final'!$O$36),"")</f>
        <v/>
      </c>
      <c r="W25" s="59" t="str">
        <f>IF(AND('Mapa final'!$Y$37="Alta",'Mapa final'!$AA$37="Moderado"),CONCATENATE("R10C",'Mapa final'!$O$37),"")</f>
        <v/>
      </c>
      <c r="X25" s="59" t="str">
        <f>IF(AND('Mapa final'!$Y$38="Alta",'Mapa final'!$AA$38="Moderado"),CONCATENATE("R10C",'Mapa final'!$O$38),"")</f>
        <v/>
      </c>
      <c r="Y25" s="59" t="str">
        <f>IF(AND('Mapa final'!$Y$39="Alta",'Mapa final'!$AA$39="Moderado"),CONCATENATE("R10C",'Mapa final'!$O$39),"")</f>
        <v/>
      </c>
      <c r="Z25" s="59" t="str">
        <f>IF(AND('Mapa final'!$Y$40="Alta",'Mapa final'!$AA$40="Moderado"),CONCATENATE("R10C",'Mapa final'!$O$40),"")</f>
        <v/>
      </c>
      <c r="AA25" s="60" t="str">
        <f>IF(AND('Mapa final'!$Y$41="Alta",'Mapa final'!$AA$41="Moderado"),CONCATENATE("R10C",'Mapa final'!$O$41),"")</f>
        <v/>
      </c>
      <c r="AB25" s="58" t="str">
        <f>IF(AND('Mapa final'!$Y$36="Alta",'Mapa final'!$AA$36="Mayor"),CONCATENATE("R10C",'Mapa final'!$O$36),"")</f>
        <v/>
      </c>
      <c r="AC25" s="59" t="str">
        <f>IF(AND('Mapa final'!$Y$37="Alta",'Mapa final'!$AA$37="Mayor"),CONCATENATE("R10C",'Mapa final'!$O$37),"")</f>
        <v/>
      </c>
      <c r="AD25" s="59" t="str">
        <f>IF(AND('Mapa final'!$Y$38="Alta",'Mapa final'!$AA$38="Mayor"),CONCATENATE("R10C",'Mapa final'!$O$38),"")</f>
        <v/>
      </c>
      <c r="AE25" s="59" t="str">
        <f>IF(AND('Mapa final'!$Y$39="Alta",'Mapa final'!$AA$39="Mayor"),CONCATENATE("R10C",'Mapa final'!$O$39),"")</f>
        <v/>
      </c>
      <c r="AF25" s="59" t="str">
        <f>IF(AND('Mapa final'!$Y$40="Alta",'Mapa final'!$AA$40="Mayor"),CONCATENATE("R10C",'Mapa final'!$O$40),"")</f>
        <v/>
      </c>
      <c r="AG25" s="60" t="str">
        <f>IF(AND('Mapa final'!$Y$41="Alta",'Mapa final'!$AA$41="Mayor"),CONCATENATE("R10C",'Mapa final'!$O$41),"")</f>
        <v/>
      </c>
      <c r="AH25" s="61" t="str">
        <f>IF(AND('Mapa final'!$Y$36="Alta",'Mapa final'!$AA$36="Catastrófico"),CONCATENATE("R10C",'Mapa final'!$O$36),"")</f>
        <v/>
      </c>
      <c r="AI25" s="62" t="str">
        <f>IF(AND('Mapa final'!$Y$37="Alta",'Mapa final'!$AA$37="Catastrófico"),CONCATENATE("R10C",'Mapa final'!$O$37),"")</f>
        <v/>
      </c>
      <c r="AJ25" s="62" t="str">
        <f>IF(AND('Mapa final'!$Y$38="Alta",'Mapa final'!$AA$38="Catastrófico"),CONCATENATE("R10C",'Mapa final'!$O$38),"")</f>
        <v/>
      </c>
      <c r="AK25" s="62" t="str">
        <f>IF(AND('Mapa final'!$Y$39="Alta",'Mapa final'!$AA$39="Catastrófico"),CONCATENATE("R10C",'Mapa final'!$O$39),"")</f>
        <v/>
      </c>
      <c r="AL25" s="62" t="str">
        <f>IF(AND('Mapa final'!$Y$40="Alta",'Mapa final'!$AA$40="Catastrófico"),CONCATENATE("R10C",'Mapa final'!$O$40),"")</f>
        <v/>
      </c>
      <c r="AM25" s="63" t="str">
        <f>IF(AND('Mapa final'!$Y$41="Alta",'Mapa final'!$AA$41="Catastrófico"),CONCATENATE("R10C",'Mapa final'!$O$41),"")</f>
        <v/>
      </c>
      <c r="AN25" s="83"/>
      <c r="AO25" s="476"/>
      <c r="AP25" s="477"/>
      <c r="AQ25" s="477"/>
      <c r="AR25" s="477"/>
      <c r="AS25" s="477"/>
      <c r="AT25" s="47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384"/>
      <c r="C26" s="384"/>
      <c r="D26" s="385"/>
      <c r="E26" s="479" t="s">
        <v>96</v>
      </c>
      <c r="F26" s="480"/>
      <c r="G26" s="480"/>
      <c r="H26" s="480"/>
      <c r="I26" s="497"/>
      <c r="J26" s="64" t="str">
        <f>IF(AND('Mapa final'!$Y$25="Media",'Mapa final'!$AA$25="Leve"),CONCATENATE("R1C",'Mapa final'!$O$25),"")</f>
        <v/>
      </c>
      <c r="K26" s="65" t="e">
        <f>IF(AND('Mapa final'!#REF!="Media",'Mapa final'!#REF!="Leve"),CONCATENATE("R1C",'Mapa final'!#REF!),"")</f>
        <v>#REF!</v>
      </c>
      <c r="L26" s="65" t="e">
        <f>IF(AND('Mapa final'!#REF!="Media",'Mapa final'!#REF!="Leve"),CONCATENATE("R1C",'Mapa final'!#REF!),"")</f>
        <v>#REF!</v>
      </c>
      <c r="M26" s="65" t="e">
        <f>IF(AND('Mapa final'!#REF!="Media",'Mapa final'!#REF!="Leve"),CONCATENATE("R1C",'Mapa final'!#REF!),"")</f>
        <v>#REF!</v>
      </c>
      <c r="N26" s="65" t="e">
        <f>IF(AND('Mapa final'!#REF!="Media",'Mapa final'!#REF!="Leve"),CONCATENATE("R1C",'Mapa final'!#REF!),"")</f>
        <v>#REF!</v>
      </c>
      <c r="O26" s="66" t="e">
        <f>IF(AND('Mapa final'!#REF!="Media",'Mapa final'!#REF!="Leve"),CONCATENATE("R1C",'Mapa final'!#REF!),"")</f>
        <v>#REF!</v>
      </c>
      <c r="P26" s="64" t="str">
        <f>IF(AND('Mapa final'!$Y$25="Media",'Mapa final'!$AA$25="Menor"),CONCATENATE("R1C",'Mapa final'!$O$25),"")</f>
        <v/>
      </c>
      <c r="Q26" s="65" t="e">
        <f>IF(AND('Mapa final'!#REF!="Media",'Mapa final'!#REF!="Menor"),CONCATENATE("R1C",'Mapa final'!#REF!),"")</f>
        <v>#REF!</v>
      </c>
      <c r="R26" s="65" t="e">
        <f>IF(AND('Mapa final'!#REF!="Media",'Mapa final'!#REF!="Menor"),CONCATENATE("R1C",'Mapa final'!#REF!),"")</f>
        <v>#REF!</v>
      </c>
      <c r="S26" s="65" t="e">
        <f>IF(AND('Mapa final'!#REF!="Media",'Mapa final'!#REF!="Menor"),CONCATENATE("R1C",'Mapa final'!#REF!),"")</f>
        <v>#REF!</v>
      </c>
      <c r="T26" s="65" t="e">
        <f>IF(AND('Mapa final'!#REF!="Media",'Mapa final'!#REF!="Menor"),CONCATENATE("R1C",'Mapa final'!#REF!),"")</f>
        <v>#REF!</v>
      </c>
      <c r="U26" s="66" t="e">
        <f>IF(AND('Mapa final'!#REF!="Media",'Mapa final'!#REF!="Menor"),CONCATENATE("R1C",'Mapa final'!#REF!),"")</f>
        <v>#REF!</v>
      </c>
      <c r="V26" s="64" t="str">
        <f>IF(AND('Mapa final'!$Y$25="Media",'Mapa final'!$AA$25="Moderado"),CONCATENATE("R1C",'Mapa final'!$O$25),"")</f>
        <v/>
      </c>
      <c r="W26" s="65" t="e">
        <f>IF(AND('Mapa final'!#REF!="Media",'Mapa final'!#REF!="Moderado"),CONCATENATE("R1C",'Mapa final'!#REF!),"")</f>
        <v>#REF!</v>
      </c>
      <c r="X26" s="65" t="e">
        <f>IF(AND('Mapa final'!#REF!="Media",'Mapa final'!#REF!="Moderado"),CONCATENATE("R1C",'Mapa final'!#REF!),"")</f>
        <v>#REF!</v>
      </c>
      <c r="Y26" s="65" t="e">
        <f>IF(AND('Mapa final'!#REF!="Media",'Mapa final'!#REF!="Moderado"),CONCATENATE("R1C",'Mapa final'!#REF!),"")</f>
        <v>#REF!</v>
      </c>
      <c r="Z26" s="65" t="e">
        <f>IF(AND('Mapa final'!#REF!="Media",'Mapa final'!#REF!="Moderado"),CONCATENATE("R1C",'Mapa final'!#REF!),"")</f>
        <v>#REF!</v>
      </c>
      <c r="AA26" s="66" t="e">
        <f>IF(AND('Mapa final'!#REF!="Media",'Mapa final'!#REF!="Moderado"),CONCATENATE("R1C",'Mapa final'!#REF!),"")</f>
        <v>#REF!</v>
      </c>
      <c r="AB26" s="46" t="str">
        <f>IF(AND('Mapa final'!$Y$25="Media",'Mapa final'!$AA$25="Mayor"),CONCATENATE("R1C",'Mapa final'!$O$25),"")</f>
        <v/>
      </c>
      <c r="AC26" s="47" t="e">
        <f>IF(AND('Mapa final'!#REF!="Media",'Mapa final'!#REF!="Mayor"),CONCATENATE("R1C",'Mapa final'!#REF!),"")</f>
        <v>#REF!</v>
      </c>
      <c r="AD26" s="47" t="e">
        <f>IF(AND('Mapa final'!#REF!="Media",'Mapa final'!#REF!="Mayor"),CONCATENATE("R1C",'Mapa final'!#REF!),"")</f>
        <v>#REF!</v>
      </c>
      <c r="AE26" s="47" t="e">
        <f>IF(AND('Mapa final'!#REF!="Media",'Mapa final'!#REF!="Mayor"),CONCATENATE("R1C",'Mapa final'!#REF!),"")</f>
        <v>#REF!</v>
      </c>
      <c r="AF26" s="47" t="e">
        <f>IF(AND('Mapa final'!#REF!="Media",'Mapa final'!#REF!="Mayor"),CONCATENATE("R1C",'Mapa final'!#REF!),"")</f>
        <v>#REF!</v>
      </c>
      <c r="AG26" s="48" t="e">
        <f>IF(AND('Mapa final'!#REF!="Media",'Mapa final'!#REF!="Mayor"),CONCATENATE("R1C",'Mapa final'!#REF!),"")</f>
        <v>#REF!</v>
      </c>
      <c r="AH26" s="49" t="str">
        <f>IF(AND('Mapa final'!$Y$25="Media",'Mapa final'!$AA$25="Catastrófico"),CONCATENATE("R1C",'Mapa final'!$O$25),"")</f>
        <v/>
      </c>
      <c r="AI26" s="50" t="e">
        <f>IF(AND('Mapa final'!#REF!="Media",'Mapa final'!#REF!="Catastrófico"),CONCATENATE("R1C",'Mapa final'!#REF!),"")</f>
        <v>#REF!</v>
      </c>
      <c r="AJ26" s="50" t="e">
        <f>IF(AND('Mapa final'!#REF!="Media",'Mapa final'!#REF!="Catastrófico"),CONCATENATE("R1C",'Mapa final'!#REF!),"")</f>
        <v>#REF!</v>
      </c>
      <c r="AK26" s="50" t="e">
        <f>IF(AND('Mapa final'!#REF!="Media",'Mapa final'!#REF!="Catastrófico"),CONCATENATE("R1C",'Mapa final'!#REF!),"")</f>
        <v>#REF!</v>
      </c>
      <c r="AL26" s="50" t="e">
        <f>IF(AND('Mapa final'!#REF!="Media",'Mapa final'!#REF!="Catastrófico"),CONCATENATE("R1C",'Mapa final'!#REF!),"")</f>
        <v>#REF!</v>
      </c>
      <c r="AM26" s="51" t="e">
        <f>IF(AND('Mapa final'!#REF!="Media",'Mapa final'!#REF!="Catastrófico"),CONCATENATE("R1C",'Mapa final'!#REF!),"")</f>
        <v>#REF!</v>
      </c>
      <c r="AN26" s="83"/>
      <c r="AO26" s="509" t="s">
        <v>97</v>
      </c>
      <c r="AP26" s="510"/>
      <c r="AQ26" s="510"/>
      <c r="AR26" s="510"/>
      <c r="AS26" s="510"/>
      <c r="AT26" s="51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384"/>
      <c r="C27" s="384"/>
      <c r="D27" s="385"/>
      <c r="E27" s="481"/>
      <c r="F27" s="482"/>
      <c r="G27" s="482"/>
      <c r="H27" s="482"/>
      <c r="I27" s="498"/>
      <c r="J27" s="67" t="str">
        <f>IF(AND('Mapa final'!$Y$26="Media",'Mapa final'!$AA$26="Leve"),CONCATENATE("R2C",'Mapa final'!$O$26),"")</f>
        <v>R2C1</v>
      </c>
      <c r="K27" s="68" t="str">
        <f>IF(AND('Mapa final'!$Y$27="Media",'Mapa final'!$AA$27="Leve"),CONCATENATE("R2C",'Mapa final'!$O$27),"")</f>
        <v/>
      </c>
      <c r="L27" s="68" t="e">
        <f>IF(AND('Mapa final'!#REF!="Media",'Mapa final'!#REF!="Leve"),CONCATENATE("R2C",'Mapa final'!#REF!),"")</f>
        <v>#REF!</v>
      </c>
      <c r="M27" s="68" t="e">
        <f>IF(AND('Mapa final'!#REF!="Media",'Mapa final'!#REF!="Leve"),CONCATENATE("R2C",'Mapa final'!#REF!),"")</f>
        <v>#REF!</v>
      </c>
      <c r="N27" s="68" t="e">
        <f>IF(AND('Mapa final'!#REF!="Media",'Mapa final'!#REF!="Leve"),CONCATENATE("R2C",'Mapa final'!#REF!),"")</f>
        <v>#REF!</v>
      </c>
      <c r="O27" s="69" t="e">
        <f>IF(AND('Mapa final'!#REF!="Media",'Mapa final'!#REF!="Leve"),CONCATENATE("R2C",'Mapa final'!#REF!),"")</f>
        <v>#REF!</v>
      </c>
      <c r="P27" s="67" t="str">
        <f>IF(AND('Mapa final'!$Y$26="Media",'Mapa final'!$AA$26="Menor"),CONCATENATE("R2C",'Mapa final'!$O$26),"")</f>
        <v/>
      </c>
      <c r="Q27" s="68" t="str">
        <f>IF(AND('Mapa final'!$Y$27="Media",'Mapa final'!$AA$27="Menor"),CONCATENATE("R2C",'Mapa final'!$O$27),"")</f>
        <v/>
      </c>
      <c r="R27" s="68" t="e">
        <f>IF(AND('Mapa final'!#REF!="Media",'Mapa final'!#REF!="Menor"),CONCATENATE("R2C",'Mapa final'!#REF!),"")</f>
        <v>#REF!</v>
      </c>
      <c r="S27" s="68" t="e">
        <f>IF(AND('Mapa final'!#REF!="Media",'Mapa final'!#REF!="Menor"),CONCATENATE("R2C",'Mapa final'!#REF!),"")</f>
        <v>#REF!</v>
      </c>
      <c r="T27" s="68" t="e">
        <f>IF(AND('Mapa final'!#REF!="Media",'Mapa final'!#REF!="Menor"),CONCATENATE("R2C",'Mapa final'!#REF!),"")</f>
        <v>#REF!</v>
      </c>
      <c r="U27" s="69" t="e">
        <f>IF(AND('Mapa final'!#REF!="Media",'Mapa final'!#REF!="Menor"),CONCATENATE("R2C",'Mapa final'!#REF!),"")</f>
        <v>#REF!</v>
      </c>
      <c r="V27" s="67" t="str">
        <f>IF(AND('Mapa final'!$Y$26="Media",'Mapa final'!$AA$26="Moderado"),CONCATENATE("R2C",'Mapa final'!$O$26),"")</f>
        <v/>
      </c>
      <c r="W27" s="68" t="str">
        <f>IF(AND('Mapa final'!$Y$27="Media",'Mapa final'!$AA$27="Moderado"),CONCATENATE("R2C",'Mapa final'!$O$27),"")</f>
        <v/>
      </c>
      <c r="X27" s="68" t="e">
        <f>IF(AND('Mapa final'!#REF!="Media",'Mapa final'!#REF!="Moderado"),CONCATENATE("R2C",'Mapa final'!#REF!),"")</f>
        <v>#REF!</v>
      </c>
      <c r="Y27" s="68" t="e">
        <f>IF(AND('Mapa final'!#REF!="Media",'Mapa final'!#REF!="Moderado"),CONCATENATE("R2C",'Mapa final'!#REF!),"")</f>
        <v>#REF!</v>
      </c>
      <c r="Z27" s="68" t="e">
        <f>IF(AND('Mapa final'!#REF!="Media",'Mapa final'!#REF!="Moderado"),CONCATENATE("R2C",'Mapa final'!#REF!),"")</f>
        <v>#REF!</v>
      </c>
      <c r="AA27" s="69" t="e">
        <f>IF(AND('Mapa final'!#REF!="Media",'Mapa final'!#REF!="Moderado"),CONCATENATE("R2C",'Mapa final'!#REF!),"")</f>
        <v>#REF!</v>
      </c>
      <c r="AB27" s="52" t="str">
        <f>IF(AND('Mapa final'!$Y$26="Media",'Mapa final'!$AA$26="Mayor"),CONCATENATE("R2C",'Mapa final'!$O$26),"")</f>
        <v/>
      </c>
      <c r="AC27" s="53" t="str">
        <f>IF(AND('Mapa final'!$Y$27="Media",'Mapa final'!$AA$27="Mayor"),CONCATENATE("R2C",'Mapa final'!$O$27),"")</f>
        <v/>
      </c>
      <c r="AD27" s="53" t="e">
        <f>IF(AND('Mapa final'!#REF!="Media",'Mapa final'!#REF!="Mayor"),CONCATENATE("R2C",'Mapa final'!#REF!),"")</f>
        <v>#REF!</v>
      </c>
      <c r="AE27" s="53" t="e">
        <f>IF(AND('Mapa final'!#REF!="Media",'Mapa final'!#REF!="Mayor"),CONCATENATE("R2C",'Mapa final'!#REF!),"")</f>
        <v>#REF!</v>
      </c>
      <c r="AF27" s="53" t="e">
        <f>IF(AND('Mapa final'!#REF!="Media",'Mapa final'!#REF!="Mayor"),CONCATENATE("R2C",'Mapa final'!#REF!),"")</f>
        <v>#REF!</v>
      </c>
      <c r="AG27" s="54" t="e">
        <f>IF(AND('Mapa final'!#REF!="Media",'Mapa final'!#REF!="Mayor"),CONCATENATE("R2C",'Mapa final'!#REF!),"")</f>
        <v>#REF!</v>
      </c>
      <c r="AH27" s="55" t="str">
        <f>IF(AND('Mapa final'!$Y$26="Media",'Mapa final'!$AA$26="Catastrófico"),CONCATENATE("R2C",'Mapa final'!$O$26),"")</f>
        <v/>
      </c>
      <c r="AI27" s="56" t="str">
        <f>IF(AND('Mapa final'!$Y$27="Media",'Mapa final'!$AA$27="Catastrófico"),CONCATENATE("R2C",'Mapa final'!$O$27),"")</f>
        <v/>
      </c>
      <c r="AJ27" s="56" t="e">
        <f>IF(AND('Mapa final'!#REF!="Media",'Mapa final'!#REF!="Catastrófico"),CONCATENATE("R2C",'Mapa final'!#REF!),"")</f>
        <v>#REF!</v>
      </c>
      <c r="AK27" s="56" t="e">
        <f>IF(AND('Mapa final'!#REF!="Media",'Mapa final'!#REF!="Catastrófico"),CONCATENATE("R2C",'Mapa final'!#REF!),"")</f>
        <v>#REF!</v>
      </c>
      <c r="AL27" s="56" t="e">
        <f>IF(AND('Mapa final'!#REF!="Media",'Mapa final'!#REF!="Catastrófico"),CONCATENATE("R2C",'Mapa final'!#REF!),"")</f>
        <v>#REF!</v>
      </c>
      <c r="AM27" s="57" t="e">
        <f>IF(AND('Mapa final'!#REF!="Media",'Mapa final'!#REF!="Catastrófico"),CONCATENATE("R2C",'Mapa final'!#REF!),"")</f>
        <v>#REF!</v>
      </c>
      <c r="AN27" s="83"/>
      <c r="AO27" s="512"/>
      <c r="AP27" s="513"/>
      <c r="AQ27" s="513"/>
      <c r="AR27" s="513"/>
      <c r="AS27" s="513"/>
      <c r="AT27" s="51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384"/>
      <c r="C28" s="384"/>
      <c r="D28" s="385"/>
      <c r="E28" s="483"/>
      <c r="F28" s="482"/>
      <c r="G28" s="482"/>
      <c r="H28" s="482"/>
      <c r="I28" s="498"/>
      <c r="J28" s="67" t="str">
        <f>IF(AND('Mapa final'!$Y$28="Media",'Mapa final'!$AA$28="Leve"),CONCATENATE("R3C",'Mapa final'!$O$28),"")</f>
        <v/>
      </c>
      <c r="K28" s="68" t="e">
        <f>IF(AND('Mapa final'!#REF!="Media",'Mapa final'!#REF!="Leve"),CONCATENATE("R3C",'Mapa final'!#REF!),"")</f>
        <v>#REF!</v>
      </c>
      <c r="L28" s="68" t="e">
        <f>IF(AND('Mapa final'!#REF!="Media",'Mapa final'!#REF!="Leve"),CONCATENATE("R3C",'Mapa final'!#REF!),"")</f>
        <v>#REF!</v>
      </c>
      <c r="M28" s="68" t="e">
        <f>IF(AND('Mapa final'!#REF!="Media",'Mapa final'!#REF!="Leve"),CONCATENATE("R3C",'Mapa final'!#REF!),"")</f>
        <v>#REF!</v>
      </c>
      <c r="N28" s="68" t="e">
        <f>IF(AND('Mapa final'!#REF!="Media",'Mapa final'!#REF!="Leve"),CONCATENATE("R3C",'Mapa final'!#REF!),"")</f>
        <v>#REF!</v>
      </c>
      <c r="O28" s="69" t="e">
        <f>IF(AND('Mapa final'!#REF!="Media",'Mapa final'!#REF!="Leve"),CONCATENATE("R3C",'Mapa final'!#REF!),"")</f>
        <v>#REF!</v>
      </c>
      <c r="P28" s="67" t="str">
        <f>IF(AND('Mapa final'!$Y$28="Media",'Mapa final'!$AA$28="Menor"),CONCATENATE("R3C",'Mapa final'!$O$28),"")</f>
        <v/>
      </c>
      <c r="Q28" s="68" t="e">
        <f>IF(AND('Mapa final'!#REF!="Media",'Mapa final'!#REF!="Menor"),CONCATENATE("R3C",'Mapa final'!#REF!),"")</f>
        <v>#REF!</v>
      </c>
      <c r="R28" s="68" t="e">
        <f>IF(AND('Mapa final'!#REF!="Media",'Mapa final'!#REF!="Menor"),CONCATENATE("R3C",'Mapa final'!#REF!),"")</f>
        <v>#REF!</v>
      </c>
      <c r="S28" s="68" t="e">
        <f>IF(AND('Mapa final'!#REF!="Media",'Mapa final'!#REF!="Menor"),CONCATENATE("R3C",'Mapa final'!#REF!),"")</f>
        <v>#REF!</v>
      </c>
      <c r="T28" s="68" t="e">
        <f>IF(AND('Mapa final'!#REF!="Media",'Mapa final'!#REF!="Menor"),CONCATENATE("R3C",'Mapa final'!#REF!),"")</f>
        <v>#REF!</v>
      </c>
      <c r="U28" s="69" t="e">
        <f>IF(AND('Mapa final'!#REF!="Media",'Mapa final'!#REF!="Menor"),CONCATENATE("R3C",'Mapa final'!#REF!),"")</f>
        <v>#REF!</v>
      </c>
      <c r="V28" s="67" t="str">
        <f>IF(AND('Mapa final'!$Y$28="Media",'Mapa final'!$AA$28="Moderado"),CONCATENATE("R3C",'Mapa final'!$O$28),"")</f>
        <v/>
      </c>
      <c r="W28" s="68" t="e">
        <f>IF(AND('Mapa final'!#REF!="Media",'Mapa final'!#REF!="Moderado"),CONCATENATE("R3C",'Mapa final'!#REF!),"")</f>
        <v>#REF!</v>
      </c>
      <c r="X28" s="68" t="e">
        <f>IF(AND('Mapa final'!#REF!="Media",'Mapa final'!#REF!="Moderado"),CONCATENATE("R3C",'Mapa final'!#REF!),"")</f>
        <v>#REF!</v>
      </c>
      <c r="Y28" s="68" t="e">
        <f>IF(AND('Mapa final'!#REF!="Media",'Mapa final'!#REF!="Moderado"),CONCATENATE("R3C",'Mapa final'!#REF!),"")</f>
        <v>#REF!</v>
      </c>
      <c r="Z28" s="68" t="e">
        <f>IF(AND('Mapa final'!#REF!="Media",'Mapa final'!#REF!="Moderado"),CONCATENATE("R3C",'Mapa final'!#REF!),"")</f>
        <v>#REF!</v>
      </c>
      <c r="AA28" s="69" t="e">
        <f>IF(AND('Mapa final'!#REF!="Media",'Mapa final'!#REF!="Moderado"),CONCATENATE("R3C",'Mapa final'!#REF!),"")</f>
        <v>#REF!</v>
      </c>
      <c r="AB28" s="52" t="str">
        <f>IF(AND('Mapa final'!$Y$28="Media",'Mapa final'!$AA$28="Mayor"),CONCATENATE("R3C",'Mapa final'!$O$28),"")</f>
        <v/>
      </c>
      <c r="AC28" s="53" t="e">
        <f>IF(AND('Mapa final'!#REF!="Media",'Mapa final'!#REF!="Mayor"),CONCATENATE("R3C",'Mapa final'!#REF!),"")</f>
        <v>#REF!</v>
      </c>
      <c r="AD28" s="53" t="e">
        <f>IF(AND('Mapa final'!#REF!="Media",'Mapa final'!#REF!="Mayor"),CONCATENATE("R3C",'Mapa final'!#REF!),"")</f>
        <v>#REF!</v>
      </c>
      <c r="AE28" s="53" t="e">
        <f>IF(AND('Mapa final'!#REF!="Media",'Mapa final'!#REF!="Mayor"),CONCATENATE("R3C",'Mapa final'!#REF!),"")</f>
        <v>#REF!</v>
      </c>
      <c r="AF28" s="53" t="e">
        <f>IF(AND('Mapa final'!#REF!="Media",'Mapa final'!#REF!="Mayor"),CONCATENATE("R3C",'Mapa final'!#REF!),"")</f>
        <v>#REF!</v>
      </c>
      <c r="AG28" s="54" t="e">
        <f>IF(AND('Mapa final'!#REF!="Media",'Mapa final'!#REF!="Mayor"),CONCATENATE("R3C",'Mapa final'!#REF!),"")</f>
        <v>#REF!</v>
      </c>
      <c r="AH28" s="55" t="str">
        <f>IF(AND('Mapa final'!$Y$28="Media",'Mapa final'!$AA$28="Catastrófico"),CONCATENATE("R3C",'Mapa final'!$O$28),"")</f>
        <v/>
      </c>
      <c r="AI28" s="56" t="e">
        <f>IF(AND('Mapa final'!#REF!="Media",'Mapa final'!#REF!="Catastrófico"),CONCATENATE("R3C",'Mapa final'!#REF!),"")</f>
        <v>#REF!</v>
      </c>
      <c r="AJ28" s="56" t="e">
        <f>IF(AND('Mapa final'!#REF!="Media",'Mapa final'!#REF!="Catastrófico"),CONCATENATE("R3C",'Mapa final'!#REF!),"")</f>
        <v>#REF!</v>
      </c>
      <c r="AK28" s="56" t="e">
        <f>IF(AND('Mapa final'!#REF!="Media",'Mapa final'!#REF!="Catastrófico"),CONCATENATE("R3C",'Mapa final'!#REF!),"")</f>
        <v>#REF!</v>
      </c>
      <c r="AL28" s="56" t="e">
        <f>IF(AND('Mapa final'!#REF!="Media",'Mapa final'!#REF!="Catastrófico"),CONCATENATE("R3C",'Mapa final'!#REF!),"")</f>
        <v>#REF!</v>
      </c>
      <c r="AM28" s="57" t="e">
        <f>IF(AND('Mapa final'!#REF!="Media",'Mapa final'!#REF!="Catastrófico"),CONCATENATE("R3C",'Mapa final'!#REF!),"")</f>
        <v>#REF!</v>
      </c>
      <c r="AN28" s="83"/>
      <c r="AO28" s="512"/>
      <c r="AP28" s="513"/>
      <c r="AQ28" s="513"/>
      <c r="AR28" s="513"/>
      <c r="AS28" s="513"/>
      <c r="AT28" s="51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384"/>
      <c r="C29" s="384"/>
      <c r="D29" s="385"/>
      <c r="E29" s="483"/>
      <c r="F29" s="482"/>
      <c r="G29" s="482"/>
      <c r="H29" s="482"/>
      <c r="I29" s="498"/>
      <c r="J29" s="67" t="e">
        <f>IF(AND('Mapa final'!#REF!="Media",'Mapa final'!#REF!="Leve"),CONCATENATE("R4C",'Mapa final'!#REF!),"")</f>
        <v>#REF!</v>
      </c>
      <c r="K29" s="68" t="e">
        <f>IF(AND('Mapa final'!#REF!="Media",'Mapa final'!#REF!="Leve"),CONCATENATE("R4C",'Mapa final'!#REF!),"")</f>
        <v>#REF!</v>
      </c>
      <c r="L29" s="68" t="e">
        <f>IF(AND('Mapa final'!#REF!="Media",'Mapa final'!#REF!="Leve"),CONCATENATE("R4C",'Mapa final'!#REF!),"")</f>
        <v>#REF!</v>
      </c>
      <c r="M29" s="68" t="e">
        <f>IF(AND('Mapa final'!#REF!="Media",'Mapa final'!#REF!="Leve"),CONCATENATE("R4C",'Mapa final'!#REF!),"")</f>
        <v>#REF!</v>
      </c>
      <c r="N29" s="68" t="e">
        <f>IF(AND('Mapa final'!#REF!="Media",'Mapa final'!#REF!="Leve"),CONCATENATE("R4C",'Mapa final'!#REF!),"")</f>
        <v>#REF!</v>
      </c>
      <c r="O29" s="69" t="e">
        <f>IF(AND('Mapa final'!#REF!="Media",'Mapa final'!#REF!="Leve"),CONCATENATE("R4C",'Mapa final'!#REF!),"")</f>
        <v>#REF!</v>
      </c>
      <c r="P29" s="67" t="e">
        <f>IF(AND('Mapa final'!#REF!="Media",'Mapa final'!#REF!="Menor"),CONCATENATE("R4C",'Mapa final'!#REF!),"")</f>
        <v>#REF!</v>
      </c>
      <c r="Q29" s="68" t="e">
        <f>IF(AND('Mapa final'!#REF!="Media",'Mapa final'!#REF!="Menor"),CONCATENATE("R4C",'Mapa final'!#REF!),"")</f>
        <v>#REF!</v>
      </c>
      <c r="R29" s="68" t="e">
        <f>IF(AND('Mapa final'!#REF!="Media",'Mapa final'!#REF!="Menor"),CONCATENATE("R4C",'Mapa final'!#REF!),"")</f>
        <v>#REF!</v>
      </c>
      <c r="S29" s="68" t="e">
        <f>IF(AND('Mapa final'!#REF!="Media",'Mapa final'!#REF!="Menor"),CONCATENATE("R4C",'Mapa final'!#REF!),"")</f>
        <v>#REF!</v>
      </c>
      <c r="T29" s="68" t="e">
        <f>IF(AND('Mapa final'!#REF!="Media",'Mapa final'!#REF!="Menor"),CONCATENATE("R4C",'Mapa final'!#REF!),"")</f>
        <v>#REF!</v>
      </c>
      <c r="U29" s="69" t="e">
        <f>IF(AND('Mapa final'!#REF!="Media",'Mapa final'!#REF!="Menor"),CONCATENATE("R4C",'Mapa final'!#REF!),"")</f>
        <v>#REF!</v>
      </c>
      <c r="V29" s="67" t="e">
        <f>IF(AND('Mapa final'!#REF!="Media",'Mapa final'!#REF!="Moderado"),CONCATENATE("R4C",'Mapa final'!#REF!),"")</f>
        <v>#REF!</v>
      </c>
      <c r="W29" s="68" t="e">
        <f>IF(AND('Mapa final'!#REF!="Media",'Mapa final'!#REF!="Moderado"),CONCATENATE("R4C",'Mapa final'!#REF!),"")</f>
        <v>#REF!</v>
      </c>
      <c r="X29" s="68" t="e">
        <f>IF(AND('Mapa final'!#REF!="Media",'Mapa final'!#REF!="Moderado"),CONCATENATE("R4C",'Mapa final'!#REF!),"")</f>
        <v>#REF!</v>
      </c>
      <c r="Y29" s="68" t="e">
        <f>IF(AND('Mapa final'!#REF!="Media",'Mapa final'!#REF!="Moderado"),CONCATENATE("R4C",'Mapa final'!#REF!),"")</f>
        <v>#REF!</v>
      </c>
      <c r="Z29" s="68" t="e">
        <f>IF(AND('Mapa final'!#REF!="Media",'Mapa final'!#REF!="Moderado"),CONCATENATE("R4C",'Mapa final'!#REF!),"")</f>
        <v>#REF!</v>
      </c>
      <c r="AA29" s="69" t="e">
        <f>IF(AND('Mapa final'!#REF!="Media",'Mapa final'!#REF!="Moderado"),CONCATENATE("R4C",'Mapa final'!#REF!),"")</f>
        <v>#REF!</v>
      </c>
      <c r="AB29" s="52" t="e">
        <f>IF(AND('Mapa final'!#REF!="Media",'Mapa final'!#REF!="Mayor"),CONCATENATE("R4C",'Mapa final'!#REF!),"")</f>
        <v>#REF!</v>
      </c>
      <c r="AC29" s="53" t="e">
        <f>IF(AND('Mapa final'!#REF!="Media",'Mapa final'!#REF!="Mayor"),CONCATENATE("R4C",'Mapa final'!#REF!),"")</f>
        <v>#REF!</v>
      </c>
      <c r="AD29" s="53" t="e">
        <f>IF(AND('Mapa final'!#REF!="Media",'Mapa final'!#REF!="Mayor"),CONCATENATE("R4C",'Mapa final'!#REF!),"")</f>
        <v>#REF!</v>
      </c>
      <c r="AE29" s="53" t="e">
        <f>IF(AND('Mapa final'!#REF!="Media",'Mapa final'!#REF!="Mayor"),CONCATENATE("R4C",'Mapa final'!#REF!),"")</f>
        <v>#REF!</v>
      </c>
      <c r="AF29" s="53" t="e">
        <f>IF(AND('Mapa final'!#REF!="Media",'Mapa final'!#REF!="Mayor"),CONCATENATE("R4C",'Mapa final'!#REF!),"")</f>
        <v>#REF!</v>
      </c>
      <c r="AG29" s="54" t="e">
        <f>IF(AND('Mapa final'!#REF!="Media",'Mapa final'!#REF!="Mayor"),CONCATENATE("R4C",'Mapa final'!#REF!),"")</f>
        <v>#REF!</v>
      </c>
      <c r="AH29" s="55" t="e">
        <f>IF(AND('Mapa final'!#REF!="Media",'Mapa final'!#REF!="Catastrófico"),CONCATENATE("R4C",'Mapa final'!#REF!),"")</f>
        <v>#REF!</v>
      </c>
      <c r="AI29" s="56" t="e">
        <f>IF(AND('Mapa final'!#REF!="Media",'Mapa final'!#REF!="Catastrófico"),CONCATENATE("R4C",'Mapa final'!#REF!),"")</f>
        <v>#REF!</v>
      </c>
      <c r="AJ29" s="56" t="e">
        <f>IF(AND('Mapa final'!#REF!="Media",'Mapa final'!#REF!="Catastrófico"),CONCATENATE("R4C",'Mapa final'!#REF!),"")</f>
        <v>#REF!</v>
      </c>
      <c r="AK29" s="56" t="e">
        <f>IF(AND('Mapa final'!#REF!="Media",'Mapa final'!#REF!="Catastrófico"),CONCATENATE("R4C",'Mapa final'!#REF!),"")</f>
        <v>#REF!</v>
      </c>
      <c r="AL29" s="56" t="e">
        <f>IF(AND('Mapa final'!#REF!="Media",'Mapa final'!#REF!="Catastrófico"),CONCATENATE("R4C",'Mapa final'!#REF!),"")</f>
        <v>#REF!</v>
      </c>
      <c r="AM29" s="57" t="e">
        <f>IF(AND('Mapa final'!#REF!="Media",'Mapa final'!#REF!="Catastrófico"),CONCATENATE("R4C",'Mapa final'!#REF!),"")</f>
        <v>#REF!</v>
      </c>
      <c r="AN29" s="83"/>
      <c r="AO29" s="512"/>
      <c r="AP29" s="513"/>
      <c r="AQ29" s="513"/>
      <c r="AR29" s="513"/>
      <c r="AS29" s="513"/>
      <c r="AT29" s="51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384"/>
      <c r="C30" s="384"/>
      <c r="D30" s="385"/>
      <c r="E30" s="483"/>
      <c r="F30" s="482"/>
      <c r="G30" s="482"/>
      <c r="H30" s="482"/>
      <c r="I30" s="498"/>
      <c r="J30" s="67" t="e">
        <f>IF(AND('Mapa final'!#REF!="Media",'Mapa final'!#REF!="Leve"),CONCATENATE("R5C",'Mapa final'!#REF!),"")</f>
        <v>#REF!</v>
      </c>
      <c r="K30" s="68" t="e">
        <f>IF(AND('Mapa final'!#REF!="Media",'Mapa final'!#REF!="Leve"),CONCATENATE("R5C",'Mapa final'!#REF!),"")</f>
        <v>#REF!</v>
      </c>
      <c r="L30" s="68" t="e">
        <f>IF(AND('Mapa final'!#REF!="Media",'Mapa final'!#REF!="Leve"),CONCATENATE("R5C",'Mapa final'!#REF!),"")</f>
        <v>#REF!</v>
      </c>
      <c r="M30" s="68" t="e">
        <f>IF(AND('Mapa final'!#REF!="Media",'Mapa final'!#REF!="Leve"),CONCATENATE("R5C",'Mapa final'!#REF!),"")</f>
        <v>#REF!</v>
      </c>
      <c r="N30" s="68" t="e">
        <f>IF(AND('Mapa final'!#REF!="Media",'Mapa final'!#REF!="Leve"),CONCATENATE("R5C",'Mapa final'!#REF!),"")</f>
        <v>#REF!</v>
      </c>
      <c r="O30" s="69" t="e">
        <f>IF(AND('Mapa final'!#REF!="Media",'Mapa final'!#REF!="Leve"),CONCATENATE("R5C",'Mapa final'!#REF!),"")</f>
        <v>#REF!</v>
      </c>
      <c r="P30" s="67" t="e">
        <f>IF(AND('Mapa final'!#REF!="Media",'Mapa final'!#REF!="Menor"),CONCATENATE("R5C",'Mapa final'!#REF!),"")</f>
        <v>#REF!</v>
      </c>
      <c r="Q30" s="68" t="e">
        <f>IF(AND('Mapa final'!#REF!="Media",'Mapa final'!#REF!="Menor"),CONCATENATE("R5C",'Mapa final'!#REF!),"")</f>
        <v>#REF!</v>
      </c>
      <c r="R30" s="68" t="e">
        <f>IF(AND('Mapa final'!#REF!="Media",'Mapa final'!#REF!="Menor"),CONCATENATE("R5C",'Mapa final'!#REF!),"")</f>
        <v>#REF!</v>
      </c>
      <c r="S30" s="68" t="e">
        <f>IF(AND('Mapa final'!#REF!="Media",'Mapa final'!#REF!="Menor"),CONCATENATE("R5C",'Mapa final'!#REF!),"")</f>
        <v>#REF!</v>
      </c>
      <c r="T30" s="68" t="e">
        <f>IF(AND('Mapa final'!#REF!="Media",'Mapa final'!#REF!="Menor"),CONCATENATE("R5C",'Mapa final'!#REF!),"")</f>
        <v>#REF!</v>
      </c>
      <c r="U30" s="69" t="e">
        <f>IF(AND('Mapa final'!#REF!="Media",'Mapa final'!#REF!="Menor"),CONCATENATE("R5C",'Mapa final'!#REF!),"")</f>
        <v>#REF!</v>
      </c>
      <c r="V30" s="67" t="e">
        <f>IF(AND('Mapa final'!#REF!="Media",'Mapa final'!#REF!="Moderado"),CONCATENATE("R5C",'Mapa final'!#REF!),"")</f>
        <v>#REF!</v>
      </c>
      <c r="W30" s="68" t="e">
        <f>IF(AND('Mapa final'!#REF!="Media",'Mapa final'!#REF!="Moderado"),CONCATENATE("R5C",'Mapa final'!#REF!),"")</f>
        <v>#REF!</v>
      </c>
      <c r="X30" s="68" t="e">
        <f>IF(AND('Mapa final'!#REF!="Media",'Mapa final'!#REF!="Moderado"),CONCATENATE("R5C",'Mapa final'!#REF!),"")</f>
        <v>#REF!</v>
      </c>
      <c r="Y30" s="68" t="e">
        <f>IF(AND('Mapa final'!#REF!="Media",'Mapa final'!#REF!="Moderado"),CONCATENATE("R5C",'Mapa final'!#REF!),"")</f>
        <v>#REF!</v>
      </c>
      <c r="Z30" s="68" t="e">
        <f>IF(AND('Mapa final'!#REF!="Media",'Mapa final'!#REF!="Moderado"),CONCATENATE("R5C",'Mapa final'!#REF!),"")</f>
        <v>#REF!</v>
      </c>
      <c r="AA30" s="69" t="e">
        <f>IF(AND('Mapa final'!#REF!="Media",'Mapa final'!#REF!="Moderado"),CONCATENATE("R5C",'Mapa final'!#REF!),"")</f>
        <v>#REF!</v>
      </c>
      <c r="AB30" s="52" t="e">
        <f>IF(AND('Mapa final'!#REF!="Media",'Mapa final'!#REF!="Mayor"),CONCATENATE("R5C",'Mapa final'!#REF!),"")</f>
        <v>#REF!</v>
      </c>
      <c r="AC30" s="53" t="e">
        <f>IF(AND('Mapa final'!#REF!="Media",'Mapa final'!#REF!="Mayor"),CONCATENATE("R5C",'Mapa final'!#REF!),"")</f>
        <v>#REF!</v>
      </c>
      <c r="AD30" s="53" t="e">
        <f>IF(AND('Mapa final'!#REF!="Media",'Mapa final'!#REF!="Mayor"),CONCATENATE("R5C",'Mapa final'!#REF!),"")</f>
        <v>#REF!</v>
      </c>
      <c r="AE30" s="53" t="e">
        <f>IF(AND('Mapa final'!#REF!="Media",'Mapa final'!#REF!="Mayor"),CONCATENATE("R5C",'Mapa final'!#REF!),"")</f>
        <v>#REF!</v>
      </c>
      <c r="AF30" s="53" t="e">
        <f>IF(AND('Mapa final'!#REF!="Media",'Mapa final'!#REF!="Mayor"),CONCATENATE("R5C",'Mapa final'!#REF!),"")</f>
        <v>#REF!</v>
      </c>
      <c r="AG30" s="54" t="e">
        <f>IF(AND('Mapa final'!#REF!="Media",'Mapa final'!#REF!="Mayor"),CONCATENATE("R5C",'Mapa final'!#REF!),"")</f>
        <v>#REF!</v>
      </c>
      <c r="AH30" s="55" t="e">
        <f>IF(AND('Mapa final'!#REF!="Media",'Mapa final'!#REF!="Catastrófico"),CONCATENATE("R5C",'Mapa final'!#REF!),"")</f>
        <v>#REF!</v>
      </c>
      <c r="AI30" s="56" t="e">
        <f>IF(AND('Mapa final'!#REF!="Media",'Mapa final'!#REF!="Catastrófico"),CONCATENATE("R5C",'Mapa final'!#REF!),"")</f>
        <v>#REF!</v>
      </c>
      <c r="AJ30" s="56" t="e">
        <f>IF(AND('Mapa final'!#REF!="Media",'Mapa final'!#REF!="Catastrófico"),CONCATENATE("R5C",'Mapa final'!#REF!),"")</f>
        <v>#REF!</v>
      </c>
      <c r="AK30" s="56" t="e">
        <f>IF(AND('Mapa final'!#REF!="Media",'Mapa final'!#REF!="Catastrófico"),CONCATENATE("R5C",'Mapa final'!#REF!),"")</f>
        <v>#REF!</v>
      </c>
      <c r="AL30" s="56" t="e">
        <f>IF(AND('Mapa final'!#REF!="Media",'Mapa final'!#REF!="Catastrófico"),CONCATENATE("R5C",'Mapa final'!#REF!),"")</f>
        <v>#REF!</v>
      </c>
      <c r="AM30" s="57" t="e">
        <f>IF(AND('Mapa final'!#REF!="Media",'Mapa final'!#REF!="Catastrófico"),CONCATENATE("R5C",'Mapa final'!#REF!),"")</f>
        <v>#REF!</v>
      </c>
      <c r="AN30" s="83"/>
      <c r="AO30" s="512"/>
      <c r="AP30" s="513"/>
      <c r="AQ30" s="513"/>
      <c r="AR30" s="513"/>
      <c r="AS30" s="513"/>
      <c r="AT30" s="51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384"/>
      <c r="C31" s="384"/>
      <c r="D31" s="385"/>
      <c r="E31" s="483"/>
      <c r="F31" s="482"/>
      <c r="G31" s="482"/>
      <c r="H31" s="482"/>
      <c r="I31" s="498"/>
      <c r="J31" s="67" t="e">
        <f>IF(AND('Mapa final'!#REF!="Media",'Mapa final'!#REF!="Leve"),CONCATENATE("R6C",'Mapa final'!#REF!),"")</f>
        <v>#REF!</v>
      </c>
      <c r="K31" s="68" t="e">
        <f>IF(AND('Mapa final'!#REF!="Media",'Mapa final'!#REF!="Leve"),CONCATENATE("R6C",'Mapa final'!#REF!),"")</f>
        <v>#REF!</v>
      </c>
      <c r="L31" s="68" t="e">
        <f>IF(AND('Mapa final'!#REF!="Media",'Mapa final'!#REF!="Leve"),CONCATENATE("R6C",'Mapa final'!#REF!),"")</f>
        <v>#REF!</v>
      </c>
      <c r="M31" s="68" t="e">
        <f>IF(AND('Mapa final'!#REF!="Media",'Mapa final'!#REF!="Leve"),CONCATENATE("R6C",'Mapa final'!#REF!),"")</f>
        <v>#REF!</v>
      </c>
      <c r="N31" s="68" t="e">
        <f>IF(AND('Mapa final'!#REF!="Media",'Mapa final'!#REF!="Leve"),CONCATENATE("R6C",'Mapa final'!#REF!),"")</f>
        <v>#REF!</v>
      </c>
      <c r="O31" s="69" t="e">
        <f>IF(AND('Mapa final'!#REF!="Media",'Mapa final'!#REF!="Leve"),CONCATENATE("R6C",'Mapa final'!#REF!),"")</f>
        <v>#REF!</v>
      </c>
      <c r="P31" s="67" t="e">
        <f>IF(AND('Mapa final'!#REF!="Media",'Mapa final'!#REF!="Menor"),CONCATENATE("R6C",'Mapa final'!#REF!),"")</f>
        <v>#REF!</v>
      </c>
      <c r="Q31" s="68" t="e">
        <f>IF(AND('Mapa final'!#REF!="Media",'Mapa final'!#REF!="Menor"),CONCATENATE("R6C",'Mapa final'!#REF!),"")</f>
        <v>#REF!</v>
      </c>
      <c r="R31" s="68" t="e">
        <f>IF(AND('Mapa final'!#REF!="Media",'Mapa final'!#REF!="Menor"),CONCATENATE("R6C",'Mapa final'!#REF!),"")</f>
        <v>#REF!</v>
      </c>
      <c r="S31" s="68" t="e">
        <f>IF(AND('Mapa final'!#REF!="Media",'Mapa final'!#REF!="Menor"),CONCATENATE("R6C",'Mapa final'!#REF!),"")</f>
        <v>#REF!</v>
      </c>
      <c r="T31" s="68" t="e">
        <f>IF(AND('Mapa final'!#REF!="Media",'Mapa final'!#REF!="Menor"),CONCATENATE("R6C",'Mapa final'!#REF!),"")</f>
        <v>#REF!</v>
      </c>
      <c r="U31" s="69" t="e">
        <f>IF(AND('Mapa final'!#REF!="Media",'Mapa final'!#REF!="Menor"),CONCATENATE("R6C",'Mapa final'!#REF!),"")</f>
        <v>#REF!</v>
      </c>
      <c r="V31" s="67" t="e">
        <f>IF(AND('Mapa final'!#REF!="Media",'Mapa final'!#REF!="Moderado"),CONCATENATE("R6C",'Mapa final'!#REF!),"")</f>
        <v>#REF!</v>
      </c>
      <c r="W31" s="68" t="e">
        <f>IF(AND('Mapa final'!#REF!="Media",'Mapa final'!#REF!="Moderado"),CONCATENATE("R6C",'Mapa final'!#REF!),"")</f>
        <v>#REF!</v>
      </c>
      <c r="X31" s="68" t="e">
        <f>IF(AND('Mapa final'!#REF!="Media",'Mapa final'!#REF!="Moderado"),CONCATENATE("R6C",'Mapa final'!#REF!),"")</f>
        <v>#REF!</v>
      </c>
      <c r="Y31" s="68" t="e">
        <f>IF(AND('Mapa final'!#REF!="Media",'Mapa final'!#REF!="Moderado"),CONCATENATE("R6C",'Mapa final'!#REF!),"")</f>
        <v>#REF!</v>
      </c>
      <c r="Z31" s="68" t="e">
        <f>IF(AND('Mapa final'!#REF!="Media",'Mapa final'!#REF!="Moderado"),CONCATENATE("R6C",'Mapa final'!#REF!),"")</f>
        <v>#REF!</v>
      </c>
      <c r="AA31" s="69" t="e">
        <f>IF(AND('Mapa final'!#REF!="Media",'Mapa final'!#REF!="Moderado"),CONCATENATE("R6C",'Mapa final'!#REF!),"")</f>
        <v>#REF!</v>
      </c>
      <c r="AB31" s="52" t="e">
        <f>IF(AND('Mapa final'!#REF!="Media",'Mapa final'!#REF!="Mayor"),CONCATENATE("R6C",'Mapa final'!#REF!),"")</f>
        <v>#REF!</v>
      </c>
      <c r="AC31" s="53" t="e">
        <f>IF(AND('Mapa final'!#REF!="Media",'Mapa final'!#REF!="Mayor"),CONCATENATE("R6C",'Mapa final'!#REF!),"")</f>
        <v>#REF!</v>
      </c>
      <c r="AD31" s="53" t="e">
        <f>IF(AND('Mapa final'!#REF!="Media",'Mapa final'!#REF!="Mayor"),CONCATENATE("R6C",'Mapa final'!#REF!),"")</f>
        <v>#REF!</v>
      </c>
      <c r="AE31" s="53" t="e">
        <f>IF(AND('Mapa final'!#REF!="Media",'Mapa final'!#REF!="Mayor"),CONCATENATE("R6C",'Mapa final'!#REF!),"")</f>
        <v>#REF!</v>
      </c>
      <c r="AF31" s="53" t="e">
        <f>IF(AND('Mapa final'!#REF!="Media",'Mapa final'!#REF!="Mayor"),CONCATENATE("R6C",'Mapa final'!#REF!),"")</f>
        <v>#REF!</v>
      </c>
      <c r="AG31" s="54" t="e">
        <f>IF(AND('Mapa final'!#REF!="Media",'Mapa final'!#REF!="Mayor"),CONCATENATE("R6C",'Mapa final'!#REF!),"")</f>
        <v>#REF!</v>
      </c>
      <c r="AH31" s="55" t="e">
        <f>IF(AND('Mapa final'!#REF!="Media",'Mapa final'!#REF!="Catastrófico"),CONCATENATE("R6C",'Mapa final'!#REF!),"")</f>
        <v>#REF!</v>
      </c>
      <c r="AI31" s="56" t="e">
        <f>IF(AND('Mapa final'!#REF!="Media",'Mapa final'!#REF!="Catastrófico"),CONCATENATE("R6C",'Mapa final'!#REF!),"")</f>
        <v>#REF!</v>
      </c>
      <c r="AJ31" s="56" t="e">
        <f>IF(AND('Mapa final'!#REF!="Media",'Mapa final'!#REF!="Catastrófico"),CONCATENATE("R6C",'Mapa final'!#REF!),"")</f>
        <v>#REF!</v>
      </c>
      <c r="AK31" s="56" t="e">
        <f>IF(AND('Mapa final'!#REF!="Media",'Mapa final'!#REF!="Catastrófico"),CONCATENATE("R6C",'Mapa final'!#REF!),"")</f>
        <v>#REF!</v>
      </c>
      <c r="AL31" s="56" t="e">
        <f>IF(AND('Mapa final'!#REF!="Media",'Mapa final'!#REF!="Catastrófico"),CONCATENATE("R6C",'Mapa final'!#REF!),"")</f>
        <v>#REF!</v>
      </c>
      <c r="AM31" s="57" t="e">
        <f>IF(AND('Mapa final'!#REF!="Media",'Mapa final'!#REF!="Catastrófico"),CONCATENATE("R6C",'Mapa final'!#REF!),"")</f>
        <v>#REF!</v>
      </c>
      <c r="AN31" s="83"/>
      <c r="AO31" s="512"/>
      <c r="AP31" s="513"/>
      <c r="AQ31" s="513"/>
      <c r="AR31" s="513"/>
      <c r="AS31" s="513"/>
      <c r="AT31" s="51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384"/>
      <c r="C32" s="384"/>
      <c r="D32" s="385"/>
      <c r="E32" s="483"/>
      <c r="F32" s="482"/>
      <c r="G32" s="482"/>
      <c r="H32" s="482"/>
      <c r="I32" s="498"/>
      <c r="J32" s="67" t="e">
        <f>IF(AND('Mapa final'!#REF!="Media",'Mapa final'!#REF!="Leve"),CONCATENATE("R7C",'Mapa final'!#REF!),"")</f>
        <v>#REF!</v>
      </c>
      <c r="K32" s="68" t="e">
        <f>IF(AND('Mapa final'!#REF!="Media",'Mapa final'!#REF!="Leve"),CONCATENATE("R7C",'Mapa final'!#REF!),"")</f>
        <v>#REF!</v>
      </c>
      <c r="L32" s="68" t="e">
        <f>IF(AND('Mapa final'!#REF!="Media",'Mapa final'!#REF!="Leve"),CONCATENATE("R7C",'Mapa final'!#REF!),"")</f>
        <v>#REF!</v>
      </c>
      <c r="M32" s="68" t="e">
        <f>IF(AND('Mapa final'!#REF!="Media",'Mapa final'!#REF!="Leve"),CONCATENATE("R7C",'Mapa final'!#REF!),"")</f>
        <v>#REF!</v>
      </c>
      <c r="N32" s="68" t="e">
        <f>IF(AND('Mapa final'!#REF!="Media",'Mapa final'!#REF!="Leve"),CONCATENATE("R7C",'Mapa final'!#REF!),"")</f>
        <v>#REF!</v>
      </c>
      <c r="O32" s="69" t="e">
        <f>IF(AND('Mapa final'!#REF!="Media",'Mapa final'!#REF!="Leve"),CONCATENATE("R7C",'Mapa final'!#REF!),"")</f>
        <v>#REF!</v>
      </c>
      <c r="P32" s="67" t="e">
        <f>IF(AND('Mapa final'!#REF!="Media",'Mapa final'!#REF!="Menor"),CONCATENATE("R7C",'Mapa final'!#REF!),"")</f>
        <v>#REF!</v>
      </c>
      <c r="Q32" s="68" t="e">
        <f>IF(AND('Mapa final'!#REF!="Media",'Mapa final'!#REF!="Menor"),CONCATENATE("R7C",'Mapa final'!#REF!),"")</f>
        <v>#REF!</v>
      </c>
      <c r="R32" s="68" t="e">
        <f>IF(AND('Mapa final'!#REF!="Media",'Mapa final'!#REF!="Menor"),CONCATENATE("R7C",'Mapa final'!#REF!),"")</f>
        <v>#REF!</v>
      </c>
      <c r="S32" s="68" t="e">
        <f>IF(AND('Mapa final'!#REF!="Media",'Mapa final'!#REF!="Menor"),CONCATENATE("R7C",'Mapa final'!#REF!),"")</f>
        <v>#REF!</v>
      </c>
      <c r="T32" s="68" t="e">
        <f>IF(AND('Mapa final'!#REF!="Media",'Mapa final'!#REF!="Menor"),CONCATENATE("R7C",'Mapa final'!#REF!),"")</f>
        <v>#REF!</v>
      </c>
      <c r="U32" s="69" t="e">
        <f>IF(AND('Mapa final'!#REF!="Media",'Mapa final'!#REF!="Menor"),CONCATENATE("R7C",'Mapa final'!#REF!),"")</f>
        <v>#REF!</v>
      </c>
      <c r="V32" s="67" t="e">
        <f>IF(AND('Mapa final'!#REF!="Media",'Mapa final'!#REF!="Moderado"),CONCATENATE("R7C",'Mapa final'!#REF!),"")</f>
        <v>#REF!</v>
      </c>
      <c r="W32" s="68" t="e">
        <f>IF(AND('Mapa final'!#REF!="Media",'Mapa final'!#REF!="Moderado"),CONCATENATE("R7C",'Mapa final'!#REF!),"")</f>
        <v>#REF!</v>
      </c>
      <c r="X32" s="68" t="e">
        <f>IF(AND('Mapa final'!#REF!="Media",'Mapa final'!#REF!="Moderado"),CONCATENATE("R7C",'Mapa final'!#REF!),"")</f>
        <v>#REF!</v>
      </c>
      <c r="Y32" s="68" t="e">
        <f>IF(AND('Mapa final'!#REF!="Media",'Mapa final'!#REF!="Moderado"),CONCATENATE("R7C",'Mapa final'!#REF!),"")</f>
        <v>#REF!</v>
      </c>
      <c r="Z32" s="68" t="e">
        <f>IF(AND('Mapa final'!#REF!="Media",'Mapa final'!#REF!="Moderado"),CONCATENATE("R7C",'Mapa final'!#REF!),"")</f>
        <v>#REF!</v>
      </c>
      <c r="AA32" s="69" t="e">
        <f>IF(AND('Mapa final'!#REF!="Media",'Mapa final'!#REF!="Moderado"),CONCATENATE("R7C",'Mapa final'!#REF!),"")</f>
        <v>#REF!</v>
      </c>
      <c r="AB32" s="52" t="e">
        <f>IF(AND('Mapa final'!#REF!="Media",'Mapa final'!#REF!="Mayor"),CONCATENATE("R7C",'Mapa final'!#REF!),"")</f>
        <v>#REF!</v>
      </c>
      <c r="AC32" s="53" t="e">
        <f>IF(AND('Mapa final'!#REF!="Media",'Mapa final'!#REF!="Mayor"),CONCATENATE("R7C",'Mapa final'!#REF!),"")</f>
        <v>#REF!</v>
      </c>
      <c r="AD32" s="53" t="e">
        <f>IF(AND('Mapa final'!#REF!="Media",'Mapa final'!#REF!="Mayor"),CONCATENATE("R7C",'Mapa final'!#REF!),"")</f>
        <v>#REF!</v>
      </c>
      <c r="AE32" s="53" t="e">
        <f>IF(AND('Mapa final'!#REF!="Media",'Mapa final'!#REF!="Mayor"),CONCATENATE("R7C",'Mapa final'!#REF!),"")</f>
        <v>#REF!</v>
      </c>
      <c r="AF32" s="53" t="e">
        <f>IF(AND('Mapa final'!#REF!="Media",'Mapa final'!#REF!="Mayor"),CONCATENATE("R7C",'Mapa final'!#REF!),"")</f>
        <v>#REF!</v>
      </c>
      <c r="AG32" s="54" t="e">
        <f>IF(AND('Mapa final'!#REF!="Media",'Mapa final'!#REF!="Mayor"),CONCATENATE("R7C",'Mapa final'!#REF!),"")</f>
        <v>#REF!</v>
      </c>
      <c r="AH32" s="55" t="e">
        <f>IF(AND('Mapa final'!#REF!="Media",'Mapa final'!#REF!="Catastrófico"),CONCATENATE("R7C",'Mapa final'!#REF!),"")</f>
        <v>#REF!</v>
      </c>
      <c r="AI32" s="56" t="e">
        <f>IF(AND('Mapa final'!#REF!="Media",'Mapa final'!#REF!="Catastrófico"),CONCATENATE("R7C",'Mapa final'!#REF!),"")</f>
        <v>#REF!</v>
      </c>
      <c r="AJ32" s="56" t="e">
        <f>IF(AND('Mapa final'!#REF!="Media",'Mapa final'!#REF!="Catastrófico"),CONCATENATE("R7C",'Mapa final'!#REF!),"")</f>
        <v>#REF!</v>
      </c>
      <c r="AK32" s="56" t="e">
        <f>IF(AND('Mapa final'!#REF!="Media",'Mapa final'!#REF!="Catastrófico"),CONCATENATE("R7C",'Mapa final'!#REF!),"")</f>
        <v>#REF!</v>
      </c>
      <c r="AL32" s="56" t="e">
        <f>IF(AND('Mapa final'!#REF!="Media",'Mapa final'!#REF!="Catastrófico"),CONCATENATE("R7C",'Mapa final'!#REF!),"")</f>
        <v>#REF!</v>
      </c>
      <c r="AM32" s="57" t="e">
        <f>IF(AND('Mapa final'!#REF!="Media",'Mapa final'!#REF!="Catastrófico"),CONCATENATE("R7C",'Mapa final'!#REF!),"")</f>
        <v>#REF!</v>
      </c>
      <c r="AN32" s="83"/>
      <c r="AO32" s="512"/>
      <c r="AP32" s="513"/>
      <c r="AQ32" s="513"/>
      <c r="AR32" s="513"/>
      <c r="AS32" s="513"/>
      <c r="AT32" s="51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384"/>
      <c r="C33" s="384"/>
      <c r="D33" s="385"/>
      <c r="E33" s="483"/>
      <c r="F33" s="482"/>
      <c r="G33" s="482"/>
      <c r="H33" s="482"/>
      <c r="I33" s="498"/>
      <c r="J33" s="67" t="str">
        <f>IF(AND('Mapa final'!$Y$29="Media",'Mapa final'!$AA$29="Leve"),CONCATENATE("R8C",'Mapa final'!$O$29),"")</f>
        <v/>
      </c>
      <c r="K33" s="68" t="e">
        <f>IF(AND('Mapa final'!#REF!="Media",'Mapa final'!#REF!="Leve"),CONCATENATE("R8C",'Mapa final'!#REF!),"")</f>
        <v>#REF!</v>
      </c>
      <c r="L33" s="68" t="e">
        <f>IF(AND('Mapa final'!#REF!="Media",'Mapa final'!#REF!="Leve"),CONCATENATE("R8C",'Mapa final'!#REF!),"")</f>
        <v>#REF!</v>
      </c>
      <c r="M33" s="68" t="e">
        <f>IF(AND('Mapa final'!#REF!="Media",'Mapa final'!#REF!="Leve"),CONCATENATE("R8C",'Mapa final'!#REF!),"")</f>
        <v>#REF!</v>
      </c>
      <c r="N33" s="68" t="e">
        <f>IF(AND('Mapa final'!#REF!="Media",'Mapa final'!#REF!="Leve"),CONCATENATE("R8C",'Mapa final'!#REF!),"")</f>
        <v>#REF!</v>
      </c>
      <c r="O33" s="69" t="e">
        <f>IF(AND('Mapa final'!#REF!="Media",'Mapa final'!#REF!="Leve"),CONCATENATE("R8C",'Mapa final'!#REF!),"")</f>
        <v>#REF!</v>
      </c>
      <c r="P33" s="67" t="str">
        <f>IF(AND('Mapa final'!$Y$29="Media",'Mapa final'!$AA$29="Menor"),CONCATENATE("R8C",'Mapa final'!$O$29),"")</f>
        <v/>
      </c>
      <c r="Q33" s="68" t="e">
        <f>IF(AND('Mapa final'!#REF!="Media",'Mapa final'!#REF!="Menor"),CONCATENATE("R8C",'Mapa final'!#REF!),"")</f>
        <v>#REF!</v>
      </c>
      <c r="R33" s="68" t="e">
        <f>IF(AND('Mapa final'!#REF!="Media",'Mapa final'!#REF!="Menor"),CONCATENATE("R8C",'Mapa final'!#REF!),"")</f>
        <v>#REF!</v>
      </c>
      <c r="S33" s="68" t="e">
        <f>IF(AND('Mapa final'!#REF!="Media",'Mapa final'!#REF!="Menor"),CONCATENATE("R8C",'Mapa final'!#REF!),"")</f>
        <v>#REF!</v>
      </c>
      <c r="T33" s="68" t="e">
        <f>IF(AND('Mapa final'!#REF!="Media",'Mapa final'!#REF!="Menor"),CONCATENATE("R8C",'Mapa final'!#REF!),"")</f>
        <v>#REF!</v>
      </c>
      <c r="U33" s="69" t="e">
        <f>IF(AND('Mapa final'!#REF!="Media",'Mapa final'!#REF!="Menor"),CONCATENATE("R8C",'Mapa final'!#REF!),"")</f>
        <v>#REF!</v>
      </c>
      <c r="V33" s="67" t="str">
        <f>IF(AND('Mapa final'!$Y$29="Media",'Mapa final'!$AA$29="Moderado"),CONCATENATE("R8C",'Mapa final'!$O$29),"")</f>
        <v>R8C1</v>
      </c>
      <c r="W33" s="68" t="e">
        <f>IF(AND('Mapa final'!#REF!="Media",'Mapa final'!#REF!="Moderado"),CONCATENATE("R8C",'Mapa final'!#REF!),"")</f>
        <v>#REF!</v>
      </c>
      <c r="X33" s="68" t="e">
        <f>IF(AND('Mapa final'!#REF!="Media",'Mapa final'!#REF!="Moderado"),CONCATENATE("R8C",'Mapa final'!#REF!),"")</f>
        <v>#REF!</v>
      </c>
      <c r="Y33" s="68" t="e">
        <f>IF(AND('Mapa final'!#REF!="Media",'Mapa final'!#REF!="Moderado"),CONCATENATE("R8C",'Mapa final'!#REF!),"")</f>
        <v>#REF!</v>
      </c>
      <c r="Z33" s="68" t="e">
        <f>IF(AND('Mapa final'!#REF!="Media",'Mapa final'!#REF!="Moderado"),CONCATENATE("R8C",'Mapa final'!#REF!),"")</f>
        <v>#REF!</v>
      </c>
      <c r="AA33" s="69" t="e">
        <f>IF(AND('Mapa final'!#REF!="Media",'Mapa final'!#REF!="Moderado"),CONCATENATE("R8C",'Mapa final'!#REF!),"")</f>
        <v>#REF!</v>
      </c>
      <c r="AB33" s="52" t="str">
        <f>IF(AND('Mapa final'!$Y$29="Media",'Mapa final'!$AA$29="Mayor"),CONCATENATE("R8C",'Mapa final'!$O$29),"")</f>
        <v/>
      </c>
      <c r="AC33" s="53" t="e">
        <f>IF(AND('Mapa final'!#REF!="Media",'Mapa final'!#REF!="Mayor"),CONCATENATE("R8C",'Mapa final'!#REF!),"")</f>
        <v>#REF!</v>
      </c>
      <c r="AD33" s="53" t="e">
        <f>IF(AND('Mapa final'!#REF!="Media",'Mapa final'!#REF!="Mayor"),CONCATENATE("R8C",'Mapa final'!#REF!),"")</f>
        <v>#REF!</v>
      </c>
      <c r="AE33" s="53" t="e">
        <f>IF(AND('Mapa final'!#REF!="Media",'Mapa final'!#REF!="Mayor"),CONCATENATE("R8C",'Mapa final'!#REF!),"")</f>
        <v>#REF!</v>
      </c>
      <c r="AF33" s="53" t="e">
        <f>IF(AND('Mapa final'!#REF!="Media",'Mapa final'!#REF!="Mayor"),CONCATENATE("R8C",'Mapa final'!#REF!),"")</f>
        <v>#REF!</v>
      </c>
      <c r="AG33" s="54" t="e">
        <f>IF(AND('Mapa final'!#REF!="Media",'Mapa final'!#REF!="Mayor"),CONCATENATE("R8C",'Mapa final'!#REF!),"")</f>
        <v>#REF!</v>
      </c>
      <c r="AH33" s="55" t="str">
        <f>IF(AND('Mapa final'!$Y$29="Media",'Mapa final'!$AA$29="Catastrófico"),CONCATENATE("R8C",'Mapa final'!$O$29),"")</f>
        <v/>
      </c>
      <c r="AI33" s="56" t="e">
        <f>IF(AND('Mapa final'!#REF!="Media",'Mapa final'!#REF!="Catastrófico"),CONCATENATE("R8C",'Mapa final'!#REF!),"")</f>
        <v>#REF!</v>
      </c>
      <c r="AJ33" s="56" t="e">
        <f>IF(AND('Mapa final'!#REF!="Media",'Mapa final'!#REF!="Catastrófico"),CONCATENATE("R8C",'Mapa final'!#REF!),"")</f>
        <v>#REF!</v>
      </c>
      <c r="AK33" s="56" t="e">
        <f>IF(AND('Mapa final'!#REF!="Media",'Mapa final'!#REF!="Catastrófico"),CONCATENATE("R8C",'Mapa final'!#REF!),"")</f>
        <v>#REF!</v>
      </c>
      <c r="AL33" s="56" t="e">
        <f>IF(AND('Mapa final'!#REF!="Media",'Mapa final'!#REF!="Catastrófico"),CONCATENATE("R8C",'Mapa final'!#REF!),"")</f>
        <v>#REF!</v>
      </c>
      <c r="AM33" s="57" t="e">
        <f>IF(AND('Mapa final'!#REF!="Media",'Mapa final'!#REF!="Catastrófico"),CONCATENATE("R8C",'Mapa final'!#REF!),"")</f>
        <v>#REF!</v>
      </c>
      <c r="AN33" s="83"/>
      <c r="AO33" s="512"/>
      <c r="AP33" s="513"/>
      <c r="AQ33" s="513"/>
      <c r="AR33" s="513"/>
      <c r="AS33" s="513"/>
      <c r="AT33" s="51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384"/>
      <c r="C34" s="384"/>
      <c r="D34" s="385"/>
      <c r="E34" s="483"/>
      <c r="F34" s="482"/>
      <c r="G34" s="482"/>
      <c r="H34" s="482"/>
      <c r="I34" s="498"/>
      <c r="J34" s="67" t="str">
        <f>IF(AND('Mapa final'!$Y$30="Media",'Mapa final'!$AA$30="Leve"),CONCATENATE("R9C",'Mapa final'!$O$30),"")</f>
        <v/>
      </c>
      <c r="K34" s="68" t="str">
        <f>IF(AND('Mapa final'!$Y$31="Media",'Mapa final'!$AA$31="Leve"),CONCATENATE("R9C",'Mapa final'!$O$31),"")</f>
        <v/>
      </c>
      <c r="L34" s="68" t="str">
        <f>IF(AND('Mapa final'!$Y$32="Media",'Mapa final'!$AA$32="Leve"),CONCATENATE("R9C",'Mapa final'!$O$32),"")</f>
        <v/>
      </c>
      <c r="M34" s="68" t="str">
        <f>IF(AND('Mapa final'!$Y$33="Media",'Mapa final'!$AA$33="Leve"),CONCATENATE("R9C",'Mapa final'!$O$33),"")</f>
        <v/>
      </c>
      <c r="N34" s="68" t="str">
        <f>IF(AND('Mapa final'!$Y$34="Media",'Mapa final'!$AA$34="Leve"),CONCATENATE("R9C",'Mapa final'!$O$34),"")</f>
        <v/>
      </c>
      <c r="O34" s="69" t="str">
        <f>IF(AND('Mapa final'!$Y$35="Media",'Mapa final'!$AA$35="Leve"),CONCATENATE("R9C",'Mapa final'!$O$35),"")</f>
        <v/>
      </c>
      <c r="P34" s="67" t="str">
        <f>IF(AND('Mapa final'!$Y$30="Media",'Mapa final'!$AA$30="Menor"),CONCATENATE("R9C",'Mapa final'!$O$30),"")</f>
        <v/>
      </c>
      <c r="Q34" s="68" t="str">
        <f>IF(AND('Mapa final'!$Y$31="Media",'Mapa final'!$AA$31="Menor"),CONCATENATE("R9C",'Mapa final'!$O$31),"")</f>
        <v/>
      </c>
      <c r="R34" s="68" t="str">
        <f>IF(AND('Mapa final'!$Y$32="Media",'Mapa final'!$AA$32="Menor"),CONCATENATE("R9C",'Mapa final'!$O$32),"")</f>
        <v/>
      </c>
      <c r="S34" s="68" t="str">
        <f>IF(AND('Mapa final'!$Y$33="Media",'Mapa final'!$AA$33="Menor"),CONCATENATE("R9C",'Mapa final'!$O$33),"")</f>
        <v/>
      </c>
      <c r="T34" s="68" t="str">
        <f>IF(AND('Mapa final'!$Y$34="Media",'Mapa final'!$AA$34="Menor"),CONCATENATE("R9C",'Mapa final'!$O$34),"")</f>
        <v/>
      </c>
      <c r="U34" s="69" t="str">
        <f>IF(AND('Mapa final'!$Y$35="Media",'Mapa final'!$AA$35="Menor"),CONCATENATE("R9C",'Mapa final'!$O$35),"")</f>
        <v/>
      </c>
      <c r="V34" s="67" t="str">
        <f>IF(AND('Mapa final'!$Y$30="Media",'Mapa final'!$AA$30="Moderado"),CONCATENATE("R9C",'Mapa final'!$O$30),"")</f>
        <v/>
      </c>
      <c r="W34" s="68" t="str">
        <f>IF(AND('Mapa final'!$Y$31="Media",'Mapa final'!$AA$31="Moderado"),CONCATENATE("R9C",'Mapa final'!$O$31),"")</f>
        <v/>
      </c>
      <c r="X34" s="68" t="str">
        <f>IF(AND('Mapa final'!$Y$32="Media",'Mapa final'!$AA$32="Moderado"),CONCATENATE("R9C",'Mapa final'!$O$32),"")</f>
        <v/>
      </c>
      <c r="Y34" s="68" t="str">
        <f>IF(AND('Mapa final'!$Y$33="Media",'Mapa final'!$AA$33="Moderado"),CONCATENATE("R9C",'Mapa final'!$O$33),"")</f>
        <v/>
      </c>
      <c r="Z34" s="68" t="str">
        <f>IF(AND('Mapa final'!$Y$34="Media",'Mapa final'!$AA$34="Moderado"),CONCATENATE("R9C",'Mapa final'!$O$34),"")</f>
        <v/>
      </c>
      <c r="AA34" s="69" t="str">
        <f>IF(AND('Mapa final'!$Y$35="Media",'Mapa final'!$AA$35="Moderado"),CONCATENATE("R9C",'Mapa final'!$O$35),"")</f>
        <v/>
      </c>
      <c r="AB34" s="52" t="str">
        <f>IF(AND('Mapa final'!$Y$30="Media",'Mapa final'!$AA$30="Mayor"),CONCATENATE("R9C",'Mapa final'!$O$30),"")</f>
        <v/>
      </c>
      <c r="AC34" s="53" t="str">
        <f>IF(AND('Mapa final'!$Y$31="Media",'Mapa final'!$AA$31="Mayor"),CONCATENATE("R9C",'Mapa final'!$O$31),"")</f>
        <v/>
      </c>
      <c r="AD34" s="53" t="str">
        <f>IF(AND('Mapa final'!$Y$32="Media",'Mapa final'!$AA$32="Mayor"),CONCATENATE("R9C",'Mapa final'!$O$32),"")</f>
        <v/>
      </c>
      <c r="AE34" s="53" t="str">
        <f>IF(AND('Mapa final'!$Y$33="Media",'Mapa final'!$AA$33="Mayor"),CONCATENATE("R9C",'Mapa final'!$O$33),"")</f>
        <v/>
      </c>
      <c r="AF34" s="53" t="str">
        <f>IF(AND('Mapa final'!$Y$34="Media",'Mapa final'!$AA$34="Mayor"),CONCATENATE("R9C",'Mapa final'!$O$34),"")</f>
        <v/>
      </c>
      <c r="AG34" s="54" t="str">
        <f>IF(AND('Mapa final'!$Y$35="Media",'Mapa final'!$AA$35="Mayor"),CONCATENATE("R9C",'Mapa final'!$O$35),"")</f>
        <v/>
      </c>
      <c r="AH34" s="55" t="str">
        <f>IF(AND('Mapa final'!$Y$30="Media",'Mapa final'!$AA$30="Catastrófico"),CONCATENATE("R9C",'Mapa final'!$O$30),"")</f>
        <v/>
      </c>
      <c r="AI34" s="56" t="str">
        <f>IF(AND('Mapa final'!$Y$31="Media",'Mapa final'!$AA$31="Catastrófico"),CONCATENATE("R9C",'Mapa final'!$O$31),"")</f>
        <v/>
      </c>
      <c r="AJ34" s="56" t="str">
        <f>IF(AND('Mapa final'!$Y$32="Media",'Mapa final'!$AA$32="Catastrófico"),CONCATENATE("R9C",'Mapa final'!$O$32),"")</f>
        <v/>
      </c>
      <c r="AK34" s="56" t="str">
        <f>IF(AND('Mapa final'!$Y$33="Media",'Mapa final'!$AA$33="Catastrófico"),CONCATENATE("R9C",'Mapa final'!$O$33),"")</f>
        <v/>
      </c>
      <c r="AL34" s="56" t="str">
        <f>IF(AND('Mapa final'!$Y$34="Media",'Mapa final'!$AA$34="Catastrófico"),CONCATENATE("R9C",'Mapa final'!$O$34),"")</f>
        <v/>
      </c>
      <c r="AM34" s="57" t="str">
        <f>IF(AND('Mapa final'!$Y$35="Media",'Mapa final'!$AA$35="Catastrófico"),CONCATENATE("R9C",'Mapa final'!$O$35),"")</f>
        <v/>
      </c>
      <c r="AN34" s="83"/>
      <c r="AO34" s="512"/>
      <c r="AP34" s="513"/>
      <c r="AQ34" s="513"/>
      <c r="AR34" s="513"/>
      <c r="AS34" s="513"/>
      <c r="AT34" s="51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384"/>
      <c r="C35" s="384"/>
      <c r="D35" s="385"/>
      <c r="E35" s="484"/>
      <c r="F35" s="485"/>
      <c r="G35" s="485"/>
      <c r="H35" s="485"/>
      <c r="I35" s="499"/>
      <c r="J35" s="67" t="str">
        <f>IF(AND('Mapa final'!$Y$36="Media",'Mapa final'!$AA$36="Leve"),CONCATENATE("R10C",'Mapa final'!$O$36),"")</f>
        <v/>
      </c>
      <c r="K35" s="68" t="str">
        <f>IF(AND('Mapa final'!$Y$37="Media",'Mapa final'!$AA$37="Leve"),CONCATENATE("R10C",'Mapa final'!$O$37),"")</f>
        <v/>
      </c>
      <c r="L35" s="68" t="str">
        <f>IF(AND('Mapa final'!$Y$38="Media",'Mapa final'!$AA$38="Leve"),CONCATENATE("R10C",'Mapa final'!$O$38),"")</f>
        <v/>
      </c>
      <c r="M35" s="68" t="str">
        <f>IF(AND('Mapa final'!$Y$39="Media",'Mapa final'!$AA$39="Leve"),CONCATENATE("R10C",'Mapa final'!$O$39),"")</f>
        <v/>
      </c>
      <c r="N35" s="68" t="str">
        <f>IF(AND('Mapa final'!$Y$40="Media",'Mapa final'!$AA$40="Leve"),CONCATENATE("R10C",'Mapa final'!$O$40),"")</f>
        <v/>
      </c>
      <c r="O35" s="69" t="str">
        <f>IF(AND('Mapa final'!$Y$41="Media",'Mapa final'!$AA$41="Leve"),CONCATENATE("R10C",'Mapa final'!$O$41),"")</f>
        <v/>
      </c>
      <c r="P35" s="67" t="str">
        <f>IF(AND('Mapa final'!$Y$36="Media",'Mapa final'!$AA$36="Menor"),CONCATENATE("R10C",'Mapa final'!$O$36),"")</f>
        <v/>
      </c>
      <c r="Q35" s="68" t="str">
        <f>IF(AND('Mapa final'!$Y$37="Media",'Mapa final'!$AA$37="Menor"),CONCATENATE("R10C",'Mapa final'!$O$37),"")</f>
        <v/>
      </c>
      <c r="R35" s="68" t="str">
        <f>IF(AND('Mapa final'!$Y$38="Media",'Mapa final'!$AA$38="Menor"),CONCATENATE("R10C",'Mapa final'!$O$38),"")</f>
        <v/>
      </c>
      <c r="S35" s="68" t="str">
        <f>IF(AND('Mapa final'!$Y$39="Media",'Mapa final'!$AA$39="Menor"),CONCATENATE("R10C",'Mapa final'!$O$39),"")</f>
        <v/>
      </c>
      <c r="T35" s="68" t="str">
        <f>IF(AND('Mapa final'!$Y$40="Media",'Mapa final'!$AA$40="Menor"),CONCATENATE("R10C",'Mapa final'!$O$40),"")</f>
        <v/>
      </c>
      <c r="U35" s="69" t="str">
        <f>IF(AND('Mapa final'!$Y$41="Media",'Mapa final'!$AA$41="Menor"),CONCATENATE("R10C",'Mapa final'!$O$41),"")</f>
        <v/>
      </c>
      <c r="V35" s="67" t="str">
        <f>IF(AND('Mapa final'!$Y$36="Media",'Mapa final'!$AA$36="Moderado"),CONCATENATE("R10C",'Mapa final'!$O$36),"")</f>
        <v/>
      </c>
      <c r="W35" s="68" t="str">
        <f>IF(AND('Mapa final'!$Y$37="Media",'Mapa final'!$AA$37="Moderado"),CONCATENATE("R10C",'Mapa final'!$O$37),"")</f>
        <v/>
      </c>
      <c r="X35" s="68" t="str">
        <f>IF(AND('Mapa final'!$Y$38="Media",'Mapa final'!$AA$38="Moderado"),CONCATENATE("R10C",'Mapa final'!$O$38),"")</f>
        <v/>
      </c>
      <c r="Y35" s="68" t="str">
        <f>IF(AND('Mapa final'!$Y$39="Media",'Mapa final'!$AA$39="Moderado"),CONCATENATE("R10C",'Mapa final'!$O$39),"")</f>
        <v/>
      </c>
      <c r="Z35" s="68" t="str">
        <f>IF(AND('Mapa final'!$Y$40="Media",'Mapa final'!$AA$40="Moderado"),CONCATENATE("R10C",'Mapa final'!$O$40),"")</f>
        <v/>
      </c>
      <c r="AA35" s="69" t="str">
        <f>IF(AND('Mapa final'!$Y$41="Media",'Mapa final'!$AA$41="Moderado"),CONCATENATE("R10C",'Mapa final'!$O$41),"")</f>
        <v/>
      </c>
      <c r="AB35" s="58" t="str">
        <f>IF(AND('Mapa final'!$Y$36="Media",'Mapa final'!$AA$36="Mayor"),CONCATENATE("R10C",'Mapa final'!$O$36),"")</f>
        <v/>
      </c>
      <c r="AC35" s="59" t="str">
        <f>IF(AND('Mapa final'!$Y$37="Media",'Mapa final'!$AA$37="Mayor"),CONCATENATE("R10C",'Mapa final'!$O$37),"")</f>
        <v/>
      </c>
      <c r="AD35" s="59" t="str">
        <f>IF(AND('Mapa final'!$Y$38="Media",'Mapa final'!$AA$38="Mayor"),CONCATENATE("R10C",'Mapa final'!$O$38),"")</f>
        <v/>
      </c>
      <c r="AE35" s="59" t="str">
        <f>IF(AND('Mapa final'!$Y$39="Media",'Mapa final'!$AA$39="Mayor"),CONCATENATE("R10C",'Mapa final'!$O$39),"")</f>
        <v/>
      </c>
      <c r="AF35" s="59" t="str">
        <f>IF(AND('Mapa final'!$Y$40="Media",'Mapa final'!$AA$40="Mayor"),CONCATENATE("R10C",'Mapa final'!$O$40),"")</f>
        <v/>
      </c>
      <c r="AG35" s="60" t="str">
        <f>IF(AND('Mapa final'!$Y$41="Media",'Mapa final'!$AA$41="Mayor"),CONCATENATE("R10C",'Mapa final'!$O$41),"")</f>
        <v/>
      </c>
      <c r="AH35" s="61" t="str">
        <f>IF(AND('Mapa final'!$Y$36="Media",'Mapa final'!$AA$36="Catastrófico"),CONCATENATE("R10C",'Mapa final'!$O$36),"")</f>
        <v/>
      </c>
      <c r="AI35" s="62" t="str">
        <f>IF(AND('Mapa final'!$Y$37="Media",'Mapa final'!$AA$37="Catastrófico"),CONCATENATE("R10C",'Mapa final'!$O$37),"")</f>
        <v/>
      </c>
      <c r="AJ35" s="62" t="str">
        <f>IF(AND('Mapa final'!$Y$38="Media",'Mapa final'!$AA$38="Catastrófico"),CONCATENATE("R10C",'Mapa final'!$O$38),"")</f>
        <v/>
      </c>
      <c r="AK35" s="62" t="str">
        <f>IF(AND('Mapa final'!$Y$39="Media",'Mapa final'!$AA$39="Catastrófico"),CONCATENATE("R10C",'Mapa final'!$O$39),"")</f>
        <v/>
      </c>
      <c r="AL35" s="62" t="str">
        <f>IF(AND('Mapa final'!$Y$40="Media",'Mapa final'!$AA$40="Catastrófico"),CONCATENATE("R10C",'Mapa final'!$O$40),"")</f>
        <v/>
      </c>
      <c r="AM35" s="63" t="str">
        <f>IF(AND('Mapa final'!$Y$41="Media",'Mapa final'!$AA$41="Catastrófico"),CONCATENATE("R10C",'Mapa final'!$O$41),"")</f>
        <v/>
      </c>
      <c r="AN35" s="83"/>
      <c r="AO35" s="515"/>
      <c r="AP35" s="516"/>
      <c r="AQ35" s="516"/>
      <c r="AR35" s="516"/>
      <c r="AS35" s="516"/>
      <c r="AT35" s="51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384"/>
      <c r="C36" s="384"/>
      <c r="D36" s="385"/>
      <c r="E36" s="479" t="s">
        <v>98</v>
      </c>
      <c r="F36" s="480"/>
      <c r="G36" s="480"/>
      <c r="H36" s="480"/>
      <c r="I36" s="480"/>
      <c r="J36" s="73" t="str">
        <f>IF(AND('Mapa final'!$Y$25="Baja",'Mapa final'!$AA$25="Leve"),CONCATENATE("R1C",'Mapa final'!$O$25),"")</f>
        <v>R1C1</v>
      </c>
      <c r="K36" s="74" t="e">
        <f>IF(AND('Mapa final'!#REF!="Baja",'Mapa final'!#REF!="Leve"),CONCATENATE("R1C",'Mapa final'!#REF!),"")</f>
        <v>#REF!</v>
      </c>
      <c r="L36" s="74" t="e">
        <f>IF(AND('Mapa final'!#REF!="Baja",'Mapa final'!#REF!="Leve"),CONCATENATE("R1C",'Mapa final'!#REF!),"")</f>
        <v>#REF!</v>
      </c>
      <c r="M36" s="74" t="e">
        <f>IF(AND('Mapa final'!#REF!="Baja",'Mapa final'!#REF!="Leve"),CONCATENATE("R1C",'Mapa final'!#REF!),"")</f>
        <v>#REF!</v>
      </c>
      <c r="N36" s="74" t="e">
        <f>IF(AND('Mapa final'!#REF!="Baja",'Mapa final'!#REF!="Leve"),CONCATENATE("R1C",'Mapa final'!#REF!),"")</f>
        <v>#REF!</v>
      </c>
      <c r="O36" s="75" t="e">
        <f>IF(AND('Mapa final'!#REF!="Baja",'Mapa final'!#REF!="Leve"),CONCATENATE("R1C",'Mapa final'!#REF!),"")</f>
        <v>#REF!</v>
      </c>
      <c r="P36" s="64" t="str">
        <f>IF(AND('Mapa final'!$Y$25="Baja",'Mapa final'!$AA$25="Menor"),CONCATENATE("R1C",'Mapa final'!$O$25),"")</f>
        <v/>
      </c>
      <c r="Q36" s="65" t="e">
        <f>IF(AND('Mapa final'!#REF!="Baja",'Mapa final'!#REF!="Menor"),CONCATENATE("R1C",'Mapa final'!#REF!),"")</f>
        <v>#REF!</v>
      </c>
      <c r="R36" s="65" t="e">
        <f>IF(AND('Mapa final'!#REF!="Baja",'Mapa final'!#REF!="Menor"),CONCATENATE("R1C",'Mapa final'!#REF!),"")</f>
        <v>#REF!</v>
      </c>
      <c r="S36" s="65" t="e">
        <f>IF(AND('Mapa final'!#REF!="Baja",'Mapa final'!#REF!="Menor"),CONCATENATE("R1C",'Mapa final'!#REF!),"")</f>
        <v>#REF!</v>
      </c>
      <c r="T36" s="65" t="e">
        <f>IF(AND('Mapa final'!#REF!="Baja",'Mapa final'!#REF!="Menor"),CONCATENATE("R1C",'Mapa final'!#REF!),"")</f>
        <v>#REF!</v>
      </c>
      <c r="U36" s="66" t="e">
        <f>IF(AND('Mapa final'!#REF!="Baja",'Mapa final'!#REF!="Menor"),CONCATENATE("R1C",'Mapa final'!#REF!),"")</f>
        <v>#REF!</v>
      </c>
      <c r="V36" s="64" t="str">
        <f>IF(AND('Mapa final'!$Y$25="Baja",'Mapa final'!$AA$25="Moderado"),CONCATENATE("R1C",'Mapa final'!$O$25),"")</f>
        <v/>
      </c>
      <c r="W36" s="65" t="e">
        <f>IF(AND('Mapa final'!#REF!="Baja",'Mapa final'!#REF!="Moderado"),CONCATENATE("R1C",'Mapa final'!#REF!),"")</f>
        <v>#REF!</v>
      </c>
      <c r="X36" s="65" t="e">
        <f>IF(AND('Mapa final'!#REF!="Baja",'Mapa final'!#REF!="Moderado"),CONCATENATE("R1C",'Mapa final'!#REF!),"")</f>
        <v>#REF!</v>
      </c>
      <c r="Y36" s="65" t="e">
        <f>IF(AND('Mapa final'!#REF!="Baja",'Mapa final'!#REF!="Moderado"),CONCATENATE("R1C",'Mapa final'!#REF!),"")</f>
        <v>#REF!</v>
      </c>
      <c r="Z36" s="65" t="e">
        <f>IF(AND('Mapa final'!#REF!="Baja",'Mapa final'!#REF!="Moderado"),CONCATENATE("R1C",'Mapa final'!#REF!),"")</f>
        <v>#REF!</v>
      </c>
      <c r="AA36" s="66" t="e">
        <f>IF(AND('Mapa final'!#REF!="Baja",'Mapa final'!#REF!="Moderado"),CONCATENATE("R1C",'Mapa final'!#REF!),"")</f>
        <v>#REF!</v>
      </c>
      <c r="AB36" s="46" t="str">
        <f>IF(AND('Mapa final'!$Y$25="Baja",'Mapa final'!$AA$25="Mayor"),CONCATENATE("R1C",'Mapa final'!$O$25),"")</f>
        <v/>
      </c>
      <c r="AC36" s="47" t="e">
        <f>IF(AND('Mapa final'!#REF!="Baja",'Mapa final'!#REF!="Mayor"),CONCATENATE("R1C",'Mapa final'!#REF!),"")</f>
        <v>#REF!</v>
      </c>
      <c r="AD36" s="47" t="e">
        <f>IF(AND('Mapa final'!#REF!="Baja",'Mapa final'!#REF!="Mayor"),CONCATENATE("R1C",'Mapa final'!#REF!),"")</f>
        <v>#REF!</v>
      </c>
      <c r="AE36" s="47" t="e">
        <f>IF(AND('Mapa final'!#REF!="Baja",'Mapa final'!#REF!="Mayor"),CONCATENATE("R1C",'Mapa final'!#REF!),"")</f>
        <v>#REF!</v>
      </c>
      <c r="AF36" s="47" t="e">
        <f>IF(AND('Mapa final'!#REF!="Baja",'Mapa final'!#REF!="Mayor"),CONCATENATE("R1C",'Mapa final'!#REF!),"")</f>
        <v>#REF!</v>
      </c>
      <c r="AG36" s="48" t="e">
        <f>IF(AND('Mapa final'!#REF!="Baja",'Mapa final'!#REF!="Mayor"),CONCATENATE("R1C",'Mapa final'!#REF!),"")</f>
        <v>#REF!</v>
      </c>
      <c r="AH36" s="49" t="str">
        <f>IF(AND('Mapa final'!$Y$25="Baja",'Mapa final'!$AA$25="Catastrófico"),CONCATENATE("R1C",'Mapa final'!$O$25),"")</f>
        <v/>
      </c>
      <c r="AI36" s="50" t="e">
        <f>IF(AND('Mapa final'!#REF!="Baja",'Mapa final'!#REF!="Catastrófico"),CONCATENATE("R1C",'Mapa final'!#REF!),"")</f>
        <v>#REF!</v>
      </c>
      <c r="AJ36" s="50" t="e">
        <f>IF(AND('Mapa final'!#REF!="Baja",'Mapa final'!#REF!="Catastrófico"),CONCATENATE("R1C",'Mapa final'!#REF!),"")</f>
        <v>#REF!</v>
      </c>
      <c r="AK36" s="50" t="e">
        <f>IF(AND('Mapa final'!#REF!="Baja",'Mapa final'!#REF!="Catastrófico"),CONCATENATE("R1C",'Mapa final'!#REF!),"")</f>
        <v>#REF!</v>
      </c>
      <c r="AL36" s="50" t="e">
        <f>IF(AND('Mapa final'!#REF!="Baja",'Mapa final'!#REF!="Catastrófico"),CONCATENATE("R1C",'Mapa final'!#REF!),"")</f>
        <v>#REF!</v>
      </c>
      <c r="AM36" s="51" t="e">
        <f>IF(AND('Mapa final'!#REF!="Baja",'Mapa final'!#REF!="Catastrófico"),CONCATENATE("R1C",'Mapa final'!#REF!),"")</f>
        <v>#REF!</v>
      </c>
      <c r="AN36" s="83"/>
      <c r="AO36" s="500" t="s">
        <v>99</v>
      </c>
      <c r="AP36" s="501"/>
      <c r="AQ36" s="501"/>
      <c r="AR36" s="501"/>
      <c r="AS36" s="501"/>
      <c r="AT36" s="50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384"/>
      <c r="C37" s="384"/>
      <c r="D37" s="385"/>
      <c r="E37" s="481"/>
      <c r="F37" s="482"/>
      <c r="G37" s="482"/>
      <c r="H37" s="482"/>
      <c r="I37" s="482"/>
      <c r="J37" s="76" t="str">
        <f>IF(AND('Mapa final'!$Y$26="Baja",'Mapa final'!$AA$26="Leve"),CONCATENATE("R2C",'Mapa final'!$O$26),"")</f>
        <v/>
      </c>
      <c r="K37" s="77" t="str">
        <f>IF(AND('Mapa final'!$Y$27="Baja",'Mapa final'!$AA$27="Leve"),CONCATENATE("R2C",'Mapa final'!$O$27),"")</f>
        <v>R2C2</v>
      </c>
      <c r="L37" s="77" t="e">
        <f>IF(AND('Mapa final'!#REF!="Baja",'Mapa final'!#REF!="Leve"),CONCATENATE("R2C",'Mapa final'!#REF!),"")</f>
        <v>#REF!</v>
      </c>
      <c r="M37" s="77" t="e">
        <f>IF(AND('Mapa final'!#REF!="Baja",'Mapa final'!#REF!="Leve"),CONCATENATE("R2C",'Mapa final'!#REF!),"")</f>
        <v>#REF!</v>
      </c>
      <c r="N37" s="77" t="e">
        <f>IF(AND('Mapa final'!#REF!="Baja",'Mapa final'!#REF!="Leve"),CONCATENATE("R2C",'Mapa final'!#REF!),"")</f>
        <v>#REF!</v>
      </c>
      <c r="O37" s="78" t="e">
        <f>IF(AND('Mapa final'!#REF!="Baja",'Mapa final'!#REF!="Leve"),CONCATENATE("R2C",'Mapa final'!#REF!),"")</f>
        <v>#REF!</v>
      </c>
      <c r="P37" s="67" t="str">
        <f>IF(AND('Mapa final'!$Y$26="Baja",'Mapa final'!$AA$26="Menor"),CONCATENATE("R2C",'Mapa final'!$O$26),"")</f>
        <v/>
      </c>
      <c r="Q37" s="68" t="str">
        <f>IF(AND('Mapa final'!$Y$27="Baja",'Mapa final'!$AA$27="Menor"),CONCATENATE("R2C",'Mapa final'!$O$27),"")</f>
        <v/>
      </c>
      <c r="R37" s="68" t="e">
        <f>IF(AND('Mapa final'!#REF!="Baja",'Mapa final'!#REF!="Menor"),CONCATENATE("R2C",'Mapa final'!#REF!),"")</f>
        <v>#REF!</v>
      </c>
      <c r="S37" s="68" t="e">
        <f>IF(AND('Mapa final'!#REF!="Baja",'Mapa final'!#REF!="Menor"),CONCATENATE("R2C",'Mapa final'!#REF!),"")</f>
        <v>#REF!</v>
      </c>
      <c r="T37" s="68" t="e">
        <f>IF(AND('Mapa final'!#REF!="Baja",'Mapa final'!#REF!="Menor"),CONCATENATE("R2C",'Mapa final'!#REF!),"")</f>
        <v>#REF!</v>
      </c>
      <c r="U37" s="69" t="e">
        <f>IF(AND('Mapa final'!#REF!="Baja",'Mapa final'!#REF!="Menor"),CONCATENATE("R2C",'Mapa final'!#REF!),"")</f>
        <v>#REF!</v>
      </c>
      <c r="V37" s="67" t="str">
        <f>IF(AND('Mapa final'!$Y$26="Baja",'Mapa final'!$AA$26="Moderado"),CONCATENATE("R2C",'Mapa final'!$O$26),"")</f>
        <v/>
      </c>
      <c r="W37" s="68" t="str">
        <f>IF(AND('Mapa final'!$Y$27="Baja",'Mapa final'!$AA$27="Moderado"),CONCATENATE("R2C",'Mapa final'!$O$27),"")</f>
        <v/>
      </c>
      <c r="X37" s="68" t="e">
        <f>IF(AND('Mapa final'!#REF!="Baja",'Mapa final'!#REF!="Moderado"),CONCATENATE("R2C",'Mapa final'!#REF!),"")</f>
        <v>#REF!</v>
      </c>
      <c r="Y37" s="68" t="e">
        <f>IF(AND('Mapa final'!#REF!="Baja",'Mapa final'!#REF!="Moderado"),CONCATENATE("R2C",'Mapa final'!#REF!),"")</f>
        <v>#REF!</v>
      </c>
      <c r="Z37" s="68" t="e">
        <f>IF(AND('Mapa final'!#REF!="Baja",'Mapa final'!#REF!="Moderado"),CONCATENATE("R2C",'Mapa final'!#REF!),"")</f>
        <v>#REF!</v>
      </c>
      <c r="AA37" s="69" t="e">
        <f>IF(AND('Mapa final'!#REF!="Baja",'Mapa final'!#REF!="Moderado"),CONCATENATE("R2C",'Mapa final'!#REF!),"")</f>
        <v>#REF!</v>
      </c>
      <c r="AB37" s="52" t="str">
        <f>IF(AND('Mapa final'!$Y$26="Baja",'Mapa final'!$AA$26="Mayor"),CONCATENATE("R2C",'Mapa final'!$O$26),"")</f>
        <v/>
      </c>
      <c r="AC37" s="53" t="str">
        <f>IF(AND('Mapa final'!$Y$27="Baja",'Mapa final'!$AA$27="Mayor"),CONCATENATE("R2C",'Mapa final'!$O$27),"")</f>
        <v/>
      </c>
      <c r="AD37" s="53" t="e">
        <f>IF(AND('Mapa final'!#REF!="Baja",'Mapa final'!#REF!="Mayor"),CONCATENATE("R2C",'Mapa final'!#REF!),"")</f>
        <v>#REF!</v>
      </c>
      <c r="AE37" s="53" t="e">
        <f>IF(AND('Mapa final'!#REF!="Baja",'Mapa final'!#REF!="Mayor"),CONCATENATE("R2C",'Mapa final'!#REF!),"")</f>
        <v>#REF!</v>
      </c>
      <c r="AF37" s="53" t="e">
        <f>IF(AND('Mapa final'!#REF!="Baja",'Mapa final'!#REF!="Mayor"),CONCATENATE("R2C",'Mapa final'!#REF!),"")</f>
        <v>#REF!</v>
      </c>
      <c r="AG37" s="54" t="e">
        <f>IF(AND('Mapa final'!#REF!="Baja",'Mapa final'!#REF!="Mayor"),CONCATENATE("R2C",'Mapa final'!#REF!),"")</f>
        <v>#REF!</v>
      </c>
      <c r="AH37" s="55" t="str">
        <f>IF(AND('Mapa final'!$Y$26="Baja",'Mapa final'!$AA$26="Catastrófico"),CONCATENATE("R2C",'Mapa final'!$O$26),"")</f>
        <v/>
      </c>
      <c r="AI37" s="56" t="str">
        <f>IF(AND('Mapa final'!$Y$27="Baja",'Mapa final'!$AA$27="Catastrófico"),CONCATENATE("R2C",'Mapa final'!$O$27),"")</f>
        <v/>
      </c>
      <c r="AJ37" s="56" t="e">
        <f>IF(AND('Mapa final'!#REF!="Baja",'Mapa final'!#REF!="Catastrófico"),CONCATENATE("R2C",'Mapa final'!#REF!),"")</f>
        <v>#REF!</v>
      </c>
      <c r="AK37" s="56" t="e">
        <f>IF(AND('Mapa final'!#REF!="Baja",'Mapa final'!#REF!="Catastrófico"),CONCATENATE("R2C",'Mapa final'!#REF!),"")</f>
        <v>#REF!</v>
      </c>
      <c r="AL37" s="56" t="e">
        <f>IF(AND('Mapa final'!#REF!="Baja",'Mapa final'!#REF!="Catastrófico"),CONCATENATE("R2C",'Mapa final'!#REF!),"")</f>
        <v>#REF!</v>
      </c>
      <c r="AM37" s="57" t="e">
        <f>IF(AND('Mapa final'!#REF!="Baja",'Mapa final'!#REF!="Catastrófico"),CONCATENATE("R2C",'Mapa final'!#REF!),"")</f>
        <v>#REF!</v>
      </c>
      <c r="AN37" s="83"/>
      <c r="AO37" s="503"/>
      <c r="AP37" s="504"/>
      <c r="AQ37" s="504"/>
      <c r="AR37" s="504"/>
      <c r="AS37" s="504"/>
      <c r="AT37" s="50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384"/>
      <c r="C38" s="384"/>
      <c r="D38" s="385"/>
      <c r="E38" s="483"/>
      <c r="F38" s="482"/>
      <c r="G38" s="482"/>
      <c r="H38" s="482"/>
      <c r="I38" s="482"/>
      <c r="J38" s="76" t="str">
        <f>IF(AND('Mapa final'!$Y$28="Baja",'Mapa final'!$AA$28="Leve"),CONCATENATE("R3C",'Mapa final'!$O$28),"")</f>
        <v>R3C1</v>
      </c>
      <c r="K38" s="77" t="e">
        <f>IF(AND('Mapa final'!#REF!="Baja",'Mapa final'!#REF!="Leve"),CONCATENATE("R3C",'Mapa final'!#REF!),"")</f>
        <v>#REF!</v>
      </c>
      <c r="L38" s="77" t="e">
        <f>IF(AND('Mapa final'!#REF!="Baja",'Mapa final'!#REF!="Leve"),CONCATENATE("R3C",'Mapa final'!#REF!),"")</f>
        <v>#REF!</v>
      </c>
      <c r="M38" s="77" t="e">
        <f>IF(AND('Mapa final'!#REF!="Baja",'Mapa final'!#REF!="Leve"),CONCATENATE("R3C",'Mapa final'!#REF!),"")</f>
        <v>#REF!</v>
      </c>
      <c r="N38" s="77" t="e">
        <f>IF(AND('Mapa final'!#REF!="Baja",'Mapa final'!#REF!="Leve"),CONCATENATE("R3C",'Mapa final'!#REF!),"")</f>
        <v>#REF!</v>
      </c>
      <c r="O38" s="78" t="e">
        <f>IF(AND('Mapa final'!#REF!="Baja",'Mapa final'!#REF!="Leve"),CONCATENATE("R3C",'Mapa final'!#REF!),"")</f>
        <v>#REF!</v>
      </c>
      <c r="P38" s="67" t="str">
        <f>IF(AND('Mapa final'!$Y$28="Baja",'Mapa final'!$AA$28="Menor"),CONCATENATE("R3C",'Mapa final'!$O$28),"")</f>
        <v/>
      </c>
      <c r="Q38" s="68" t="e">
        <f>IF(AND('Mapa final'!#REF!="Baja",'Mapa final'!#REF!="Menor"),CONCATENATE("R3C",'Mapa final'!#REF!),"")</f>
        <v>#REF!</v>
      </c>
      <c r="R38" s="68" t="e">
        <f>IF(AND('Mapa final'!#REF!="Baja",'Mapa final'!#REF!="Menor"),CONCATENATE("R3C",'Mapa final'!#REF!),"")</f>
        <v>#REF!</v>
      </c>
      <c r="S38" s="68" t="e">
        <f>IF(AND('Mapa final'!#REF!="Baja",'Mapa final'!#REF!="Menor"),CONCATENATE("R3C",'Mapa final'!#REF!),"")</f>
        <v>#REF!</v>
      </c>
      <c r="T38" s="68" t="e">
        <f>IF(AND('Mapa final'!#REF!="Baja",'Mapa final'!#REF!="Menor"),CONCATENATE("R3C",'Mapa final'!#REF!),"")</f>
        <v>#REF!</v>
      </c>
      <c r="U38" s="69" t="e">
        <f>IF(AND('Mapa final'!#REF!="Baja",'Mapa final'!#REF!="Menor"),CONCATENATE("R3C",'Mapa final'!#REF!),"")</f>
        <v>#REF!</v>
      </c>
      <c r="V38" s="67" t="str">
        <f>IF(AND('Mapa final'!$Y$28="Baja",'Mapa final'!$AA$28="Moderado"),CONCATENATE("R3C",'Mapa final'!$O$28),"")</f>
        <v/>
      </c>
      <c r="W38" s="68" t="e">
        <f>IF(AND('Mapa final'!#REF!="Baja",'Mapa final'!#REF!="Moderado"),CONCATENATE("R3C",'Mapa final'!#REF!),"")</f>
        <v>#REF!</v>
      </c>
      <c r="X38" s="68" t="e">
        <f>IF(AND('Mapa final'!#REF!="Baja",'Mapa final'!#REF!="Moderado"),CONCATENATE("R3C",'Mapa final'!#REF!),"")</f>
        <v>#REF!</v>
      </c>
      <c r="Y38" s="68" t="e">
        <f>IF(AND('Mapa final'!#REF!="Baja",'Mapa final'!#REF!="Moderado"),CONCATENATE("R3C",'Mapa final'!#REF!),"")</f>
        <v>#REF!</v>
      </c>
      <c r="Z38" s="68" t="e">
        <f>IF(AND('Mapa final'!#REF!="Baja",'Mapa final'!#REF!="Moderado"),CONCATENATE("R3C",'Mapa final'!#REF!),"")</f>
        <v>#REF!</v>
      </c>
      <c r="AA38" s="69" t="e">
        <f>IF(AND('Mapa final'!#REF!="Baja",'Mapa final'!#REF!="Moderado"),CONCATENATE("R3C",'Mapa final'!#REF!),"")</f>
        <v>#REF!</v>
      </c>
      <c r="AB38" s="52" t="str">
        <f>IF(AND('Mapa final'!$Y$28="Baja",'Mapa final'!$AA$28="Mayor"),CONCATENATE("R3C",'Mapa final'!$O$28),"")</f>
        <v/>
      </c>
      <c r="AC38" s="53" t="e">
        <f>IF(AND('Mapa final'!#REF!="Baja",'Mapa final'!#REF!="Mayor"),CONCATENATE("R3C",'Mapa final'!#REF!),"")</f>
        <v>#REF!</v>
      </c>
      <c r="AD38" s="53" t="e">
        <f>IF(AND('Mapa final'!#REF!="Baja",'Mapa final'!#REF!="Mayor"),CONCATENATE("R3C",'Mapa final'!#REF!),"")</f>
        <v>#REF!</v>
      </c>
      <c r="AE38" s="53" t="e">
        <f>IF(AND('Mapa final'!#REF!="Baja",'Mapa final'!#REF!="Mayor"),CONCATENATE("R3C",'Mapa final'!#REF!),"")</f>
        <v>#REF!</v>
      </c>
      <c r="AF38" s="53" t="e">
        <f>IF(AND('Mapa final'!#REF!="Baja",'Mapa final'!#REF!="Mayor"),CONCATENATE("R3C",'Mapa final'!#REF!),"")</f>
        <v>#REF!</v>
      </c>
      <c r="AG38" s="54" t="e">
        <f>IF(AND('Mapa final'!#REF!="Baja",'Mapa final'!#REF!="Mayor"),CONCATENATE("R3C",'Mapa final'!#REF!),"")</f>
        <v>#REF!</v>
      </c>
      <c r="AH38" s="55" t="str">
        <f>IF(AND('Mapa final'!$Y$28="Baja",'Mapa final'!$AA$28="Catastrófico"),CONCATENATE("R3C",'Mapa final'!$O$28),"")</f>
        <v/>
      </c>
      <c r="AI38" s="56" t="e">
        <f>IF(AND('Mapa final'!#REF!="Baja",'Mapa final'!#REF!="Catastrófico"),CONCATENATE("R3C",'Mapa final'!#REF!),"")</f>
        <v>#REF!</v>
      </c>
      <c r="AJ38" s="56" t="e">
        <f>IF(AND('Mapa final'!#REF!="Baja",'Mapa final'!#REF!="Catastrófico"),CONCATENATE("R3C",'Mapa final'!#REF!),"")</f>
        <v>#REF!</v>
      </c>
      <c r="AK38" s="56" t="e">
        <f>IF(AND('Mapa final'!#REF!="Baja",'Mapa final'!#REF!="Catastrófico"),CONCATENATE("R3C",'Mapa final'!#REF!),"")</f>
        <v>#REF!</v>
      </c>
      <c r="AL38" s="56" t="e">
        <f>IF(AND('Mapa final'!#REF!="Baja",'Mapa final'!#REF!="Catastrófico"),CONCATENATE("R3C",'Mapa final'!#REF!),"")</f>
        <v>#REF!</v>
      </c>
      <c r="AM38" s="57" t="e">
        <f>IF(AND('Mapa final'!#REF!="Baja",'Mapa final'!#REF!="Catastrófico"),CONCATENATE("R3C",'Mapa final'!#REF!),"")</f>
        <v>#REF!</v>
      </c>
      <c r="AN38" s="83"/>
      <c r="AO38" s="503"/>
      <c r="AP38" s="504"/>
      <c r="AQ38" s="504"/>
      <c r="AR38" s="504"/>
      <c r="AS38" s="504"/>
      <c r="AT38" s="505"/>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384"/>
      <c r="C39" s="384"/>
      <c r="D39" s="385"/>
      <c r="E39" s="483"/>
      <c r="F39" s="482"/>
      <c r="G39" s="482"/>
      <c r="H39" s="482"/>
      <c r="I39" s="482"/>
      <c r="J39" s="76" t="e">
        <f>IF(AND('Mapa final'!#REF!="Baja",'Mapa final'!#REF!="Leve"),CONCATENATE("R4C",'Mapa final'!#REF!),"")</f>
        <v>#REF!</v>
      </c>
      <c r="K39" s="77" t="e">
        <f>IF(AND('Mapa final'!#REF!="Baja",'Mapa final'!#REF!="Leve"),CONCATENATE("R4C",'Mapa final'!#REF!),"")</f>
        <v>#REF!</v>
      </c>
      <c r="L39" s="77" t="e">
        <f>IF(AND('Mapa final'!#REF!="Baja",'Mapa final'!#REF!="Leve"),CONCATENATE("R4C",'Mapa final'!#REF!),"")</f>
        <v>#REF!</v>
      </c>
      <c r="M39" s="77" t="e">
        <f>IF(AND('Mapa final'!#REF!="Baja",'Mapa final'!#REF!="Leve"),CONCATENATE("R4C",'Mapa final'!#REF!),"")</f>
        <v>#REF!</v>
      </c>
      <c r="N39" s="77" t="e">
        <f>IF(AND('Mapa final'!#REF!="Baja",'Mapa final'!#REF!="Leve"),CONCATENATE("R4C",'Mapa final'!#REF!),"")</f>
        <v>#REF!</v>
      </c>
      <c r="O39" s="78" t="e">
        <f>IF(AND('Mapa final'!#REF!="Baja",'Mapa final'!#REF!="Leve"),CONCATENATE("R4C",'Mapa final'!#REF!),"")</f>
        <v>#REF!</v>
      </c>
      <c r="P39" s="67" t="e">
        <f>IF(AND('Mapa final'!#REF!="Baja",'Mapa final'!#REF!="Menor"),CONCATENATE("R4C",'Mapa final'!#REF!),"")</f>
        <v>#REF!</v>
      </c>
      <c r="Q39" s="68" t="e">
        <f>IF(AND('Mapa final'!#REF!="Baja",'Mapa final'!#REF!="Menor"),CONCATENATE("R4C",'Mapa final'!#REF!),"")</f>
        <v>#REF!</v>
      </c>
      <c r="R39" s="68" t="e">
        <f>IF(AND('Mapa final'!#REF!="Baja",'Mapa final'!#REF!="Menor"),CONCATENATE("R4C",'Mapa final'!#REF!),"")</f>
        <v>#REF!</v>
      </c>
      <c r="S39" s="68" t="e">
        <f>IF(AND('Mapa final'!#REF!="Baja",'Mapa final'!#REF!="Menor"),CONCATENATE("R4C",'Mapa final'!#REF!),"")</f>
        <v>#REF!</v>
      </c>
      <c r="T39" s="68" t="e">
        <f>IF(AND('Mapa final'!#REF!="Baja",'Mapa final'!#REF!="Menor"),CONCATENATE("R4C",'Mapa final'!#REF!),"")</f>
        <v>#REF!</v>
      </c>
      <c r="U39" s="69" t="e">
        <f>IF(AND('Mapa final'!#REF!="Baja",'Mapa final'!#REF!="Menor"),CONCATENATE("R4C",'Mapa final'!#REF!),"")</f>
        <v>#REF!</v>
      </c>
      <c r="V39" s="67" t="e">
        <f>IF(AND('Mapa final'!#REF!="Baja",'Mapa final'!#REF!="Moderado"),CONCATENATE("R4C",'Mapa final'!#REF!),"")</f>
        <v>#REF!</v>
      </c>
      <c r="W39" s="68" t="e">
        <f>IF(AND('Mapa final'!#REF!="Baja",'Mapa final'!#REF!="Moderado"),CONCATENATE("R4C",'Mapa final'!#REF!),"")</f>
        <v>#REF!</v>
      </c>
      <c r="X39" s="68" t="e">
        <f>IF(AND('Mapa final'!#REF!="Baja",'Mapa final'!#REF!="Moderado"),CONCATENATE("R4C",'Mapa final'!#REF!),"")</f>
        <v>#REF!</v>
      </c>
      <c r="Y39" s="68" t="e">
        <f>IF(AND('Mapa final'!#REF!="Baja",'Mapa final'!#REF!="Moderado"),CONCATENATE("R4C",'Mapa final'!#REF!),"")</f>
        <v>#REF!</v>
      </c>
      <c r="Z39" s="68" t="e">
        <f>IF(AND('Mapa final'!#REF!="Baja",'Mapa final'!#REF!="Moderado"),CONCATENATE("R4C",'Mapa final'!#REF!),"")</f>
        <v>#REF!</v>
      </c>
      <c r="AA39" s="69" t="e">
        <f>IF(AND('Mapa final'!#REF!="Baja",'Mapa final'!#REF!="Moderado"),CONCATENATE("R4C",'Mapa final'!#REF!),"")</f>
        <v>#REF!</v>
      </c>
      <c r="AB39" s="52" t="e">
        <f>IF(AND('Mapa final'!#REF!="Baja",'Mapa final'!#REF!="Mayor"),CONCATENATE("R4C",'Mapa final'!#REF!),"")</f>
        <v>#REF!</v>
      </c>
      <c r="AC39" s="53" t="e">
        <f>IF(AND('Mapa final'!#REF!="Baja",'Mapa final'!#REF!="Mayor"),CONCATENATE("R4C",'Mapa final'!#REF!),"")</f>
        <v>#REF!</v>
      </c>
      <c r="AD39" s="53" t="e">
        <f>IF(AND('Mapa final'!#REF!="Baja",'Mapa final'!#REF!="Mayor"),CONCATENATE("R4C",'Mapa final'!#REF!),"")</f>
        <v>#REF!</v>
      </c>
      <c r="AE39" s="53" t="e">
        <f>IF(AND('Mapa final'!#REF!="Baja",'Mapa final'!#REF!="Mayor"),CONCATENATE("R4C",'Mapa final'!#REF!),"")</f>
        <v>#REF!</v>
      </c>
      <c r="AF39" s="53" t="e">
        <f>IF(AND('Mapa final'!#REF!="Baja",'Mapa final'!#REF!="Mayor"),CONCATENATE("R4C",'Mapa final'!#REF!),"")</f>
        <v>#REF!</v>
      </c>
      <c r="AG39" s="54" t="e">
        <f>IF(AND('Mapa final'!#REF!="Baja",'Mapa final'!#REF!="Mayor"),CONCATENATE("R4C",'Mapa final'!#REF!),"")</f>
        <v>#REF!</v>
      </c>
      <c r="AH39" s="55" t="e">
        <f>IF(AND('Mapa final'!#REF!="Baja",'Mapa final'!#REF!="Catastrófico"),CONCATENATE("R4C",'Mapa final'!#REF!),"")</f>
        <v>#REF!</v>
      </c>
      <c r="AI39" s="56" t="e">
        <f>IF(AND('Mapa final'!#REF!="Baja",'Mapa final'!#REF!="Catastrófico"),CONCATENATE("R4C",'Mapa final'!#REF!),"")</f>
        <v>#REF!</v>
      </c>
      <c r="AJ39" s="56" t="e">
        <f>IF(AND('Mapa final'!#REF!="Baja",'Mapa final'!#REF!="Catastrófico"),CONCATENATE("R4C",'Mapa final'!#REF!),"")</f>
        <v>#REF!</v>
      </c>
      <c r="AK39" s="56" t="e">
        <f>IF(AND('Mapa final'!#REF!="Baja",'Mapa final'!#REF!="Catastrófico"),CONCATENATE("R4C",'Mapa final'!#REF!),"")</f>
        <v>#REF!</v>
      </c>
      <c r="AL39" s="56" t="e">
        <f>IF(AND('Mapa final'!#REF!="Baja",'Mapa final'!#REF!="Catastrófico"),CONCATENATE("R4C",'Mapa final'!#REF!),"")</f>
        <v>#REF!</v>
      </c>
      <c r="AM39" s="57" t="e">
        <f>IF(AND('Mapa final'!#REF!="Baja",'Mapa final'!#REF!="Catastrófico"),CONCATENATE("R4C",'Mapa final'!#REF!),"")</f>
        <v>#REF!</v>
      </c>
      <c r="AN39" s="83"/>
      <c r="AO39" s="503"/>
      <c r="AP39" s="504"/>
      <c r="AQ39" s="504"/>
      <c r="AR39" s="504"/>
      <c r="AS39" s="504"/>
      <c r="AT39" s="505"/>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384"/>
      <c r="C40" s="384"/>
      <c r="D40" s="385"/>
      <c r="E40" s="483"/>
      <c r="F40" s="482"/>
      <c r="G40" s="482"/>
      <c r="H40" s="482"/>
      <c r="I40" s="482"/>
      <c r="J40" s="76" t="e">
        <f>IF(AND('Mapa final'!#REF!="Baja",'Mapa final'!#REF!="Leve"),CONCATENATE("R5C",'Mapa final'!#REF!),"")</f>
        <v>#REF!</v>
      </c>
      <c r="K40" s="77" t="e">
        <f>IF(AND('Mapa final'!#REF!="Baja",'Mapa final'!#REF!="Leve"),CONCATENATE("R5C",'Mapa final'!#REF!),"")</f>
        <v>#REF!</v>
      </c>
      <c r="L40" s="77" t="e">
        <f>IF(AND('Mapa final'!#REF!="Baja",'Mapa final'!#REF!="Leve"),CONCATENATE("R5C",'Mapa final'!#REF!),"")</f>
        <v>#REF!</v>
      </c>
      <c r="M40" s="77" t="e">
        <f>IF(AND('Mapa final'!#REF!="Baja",'Mapa final'!#REF!="Leve"),CONCATENATE("R5C",'Mapa final'!#REF!),"")</f>
        <v>#REF!</v>
      </c>
      <c r="N40" s="77" t="e">
        <f>IF(AND('Mapa final'!#REF!="Baja",'Mapa final'!#REF!="Leve"),CONCATENATE("R5C",'Mapa final'!#REF!),"")</f>
        <v>#REF!</v>
      </c>
      <c r="O40" s="78" t="e">
        <f>IF(AND('Mapa final'!#REF!="Baja",'Mapa final'!#REF!="Leve"),CONCATENATE("R5C",'Mapa final'!#REF!),"")</f>
        <v>#REF!</v>
      </c>
      <c r="P40" s="67" t="e">
        <f>IF(AND('Mapa final'!#REF!="Baja",'Mapa final'!#REF!="Menor"),CONCATENATE("R5C",'Mapa final'!#REF!),"")</f>
        <v>#REF!</v>
      </c>
      <c r="Q40" s="68" t="e">
        <f>IF(AND('Mapa final'!#REF!="Baja",'Mapa final'!#REF!="Menor"),CONCATENATE("R5C",'Mapa final'!#REF!),"")</f>
        <v>#REF!</v>
      </c>
      <c r="R40" s="68" t="e">
        <f>IF(AND('Mapa final'!#REF!="Baja",'Mapa final'!#REF!="Menor"),CONCATENATE("R5C",'Mapa final'!#REF!),"")</f>
        <v>#REF!</v>
      </c>
      <c r="S40" s="68" t="e">
        <f>IF(AND('Mapa final'!#REF!="Baja",'Mapa final'!#REF!="Menor"),CONCATENATE("R5C",'Mapa final'!#REF!),"")</f>
        <v>#REF!</v>
      </c>
      <c r="T40" s="68" t="e">
        <f>IF(AND('Mapa final'!#REF!="Baja",'Mapa final'!#REF!="Menor"),CONCATENATE("R5C",'Mapa final'!#REF!),"")</f>
        <v>#REF!</v>
      </c>
      <c r="U40" s="69" t="e">
        <f>IF(AND('Mapa final'!#REF!="Baja",'Mapa final'!#REF!="Menor"),CONCATENATE("R5C",'Mapa final'!#REF!),"")</f>
        <v>#REF!</v>
      </c>
      <c r="V40" s="67" t="e">
        <f>IF(AND('Mapa final'!#REF!="Baja",'Mapa final'!#REF!="Moderado"),CONCATENATE("R5C",'Mapa final'!#REF!),"")</f>
        <v>#REF!</v>
      </c>
      <c r="W40" s="68" t="e">
        <f>IF(AND('Mapa final'!#REF!="Baja",'Mapa final'!#REF!="Moderado"),CONCATENATE("R5C",'Mapa final'!#REF!),"")</f>
        <v>#REF!</v>
      </c>
      <c r="X40" s="68" t="e">
        <f>IF(AND('Mapa final'!#REF!="Baja",'Mapa final'!#REF!="Moderado"),CONCATENATE("R5C",'Mapa final'!#REF!),"")</f>
        <v>#REF!</v>
      </c>
      <c r="Y40" s="68" t="e">
        <f>IF(AND('Mapa final'!#REF!="Baja",'Mapa final'!#REF!="Moderado"),CONCATENATE("R5C",'Mapa final'!#REF!),"")</f>
        <v>#REF!</v>
      </c>
      <c r="Z40" s="68" t="e">
        <f>IF(AND('Mapa final'!#REF!="Baja",'Mapa final'!#REF!="Moderado"),CONCATENATE("R5C",'Mapa final'!#REF!),"")</f>
        <v>#REF!</v>
      </c>
      <c r="AA40" s="69" t="e">
        <f>IF(AND('Mapa final'!#REF!="Baja",'Mapa final'!#REF!="Moderado"),CONCATENATE("R5C",'Mapa final'!#REF!),"")</f>
        <v>#REF!</v>
      </c>
      <c r="AB40" s="52" t="e">
        <f>IF(AND('Mapa final'!#REF!="Baja",'Mapa final'!#REF!="Mayor"),CONCATENATE("R5C",'Mapa final'!#REF!),"")</f>
        <v>#REF!</v>
      </c>
      <c r="AC40" s="53" t="e">
        <f>IF(AND('Mapa final'!#REF!="Baja",'Mapa final'!#REF!="Mayor"),CONCATENATE("R5C",'Mapa final'!#REF!),"")</f>
        <v>#REF!</v>
      </c>
      <c r="AD40" s="53" t="e">
        <f>IF(AND('Mapa final'!#REF!="Baja",'Mapa final'!#REF!="Mayor"),CONCATENATE("R5C",'Mapa final'!#REF!),"")</f>
        <v>#REF!</v>
      </c>
      <c r="AE40" s="53" t="e">
        <f>IF(AND('Mapa final'!#REF!="Baja",'Mapa final'!#REF!="Mayor"),CONCATENATE("R5C",'Mapa final'!#REF!),"")</f>
        <v>#REF!</v>
      </c>
      <c r="AF40" s="53" t="e">
        <f>IF(AND('Mapa final'!#REF!="Baja",'Mapa final'!#REF!="Mayor"),CONCATENATE("R5C",'Mapa final'!#REF!),"")</f>
        <v>#REF!</v>
      </c>
      <c r="AG40" s="54" t="e">
        <f>IF(AND('Mapa final'!#REF!="Baja",'Mapa final'!#REF!="Mayor"),CONCATENATE("R5C",'Mapa final'!#REF!),"")</f>
        <v>#REF!</v>
      </c>
      <c r="AH40" s="55" t="e">
        <f>IF(AND('Mapa final'!#REF!="Baja",'Mapa final'!#REF!="Catastrófico"),CONCATENATE("R5C",'Mapa final'!#REF!),"")</f>
        <v>#REF!</v>
      </c>
      <c r="AI40" s="56" t="e">
        <f>IF(AND('Mapa final'!#REF!="Baja",'Mapa final'!#REF!="Catastrófico"),CONCATENATE("R5C",'Mapa final'!#REF!),"")</f>
        <v>#REF!</v>
      </c>
      <c r="AJ40" s="56" t="e">
        <f>IF(AND('Mapa final'!#REF!="Baja",'Mapa final'!#REF!="Catastrófico"),CONCATENATE("R5C",'Mapa final'!#REF!),"")</f>
        <v>#REF!</v>
      </c>
      <c r="AK40" s="56" t="e">
        <f>IF(AND('Mapa final'!#REF!="Baja",'Mapa final'!#REF!="Catastrófico"),CONCATENATE("R5C",'Mapa final'!#REF!),"")</f>
        <v>#REF!</v>
      </c>
      <c r="AL40" s="56" t="e">
        <f>IF(AND('Mapa final'!#REF!="Baja",'Mapa final'!#REF!="Catastrófico"),CONCATENATE("R5C",'Mapa final'!#REF!),"")</f>
        <v>#REF!</v>
      </c>
      <c r="AM40" s="57" t="e">
        <f>IF(AND('Mapa final'!#REF!="Baja",'Mapa final'!#REF!="Catastrófico"),CONCATENATE("R5C",'Mapa final'!#REF!),"")</f>
        <v>#REF!</v>
      </c>
      <c r="AN40" s="83"/>
      <c r="AO40" s="503"/>
      <c r="AP40" s="504"/>
      <c r="AQ40" s="504"/>
      <c r="AR40" s="504"/>
      <c r="AS40" s="504"/>
      <c r="AT40" s="505"/>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384"/>
      <c r="C41" s="384"/>
      <c r="D41" s="385"/>
      <c r="E41" s="483"/>
      <c r="F41" s="482"/>
      <c r="G41" s="482"/>
      <c r="H41" s="482"/>
      <c r="I41" s="482"/>
      <c r="J41" s="76" t="e">
        <f>IF(AND('Mapa final'!#REF!="Baja",'Mapa final'!#REF!="Leve"),CONCATENATE("R6C",'Mapa final'!#REF!),"")</f>
        <v>#REF!</v>
      </c>
      <c r="K41" s="77" t="e">
        <f>IF(AND('Mapa final'!#REF!="Baja",'Mapa final'!#REF!="Leve"),CONCATENATE("R6C",'Mapa final'!#REF!),"")</f>
        <v>#REF!</v>
      </c>
      <c r="L41" s="77" t="e">
        <f>IF(AND('Mapa final'!#REF!="Baja",'Mapa final'!#REF!="Leve"),CONCATENATE("R6C",'Mapa final'!#REF!),"")</f>
        <v>#REF!</v>
      </c>
      <c r="M41" s="77" t="e">
        <f>IF(AND('Mapa final'!#REF!="Baja",'Mapa final'!#REF!="Leve"),CONCATENATE("R6C",'Mapa final'!#REF!),"")</f>
        <v>#REF!</v>
      </c>
      <c r="N41" s="77" t="e">
        <f>IF(AND('Mapa final'!#REF!="Baja",'Mapa final'!#REF!="Leve"),CONCATENATE("R6C",'Mapa final'!#REF!),"")</f>
        <v>#REF!</v>
      </c>
      <c r="O41" s="78" t="e">
        <f>IF(AND('Mapa final'!#REF!="Baja",'Mapa final'!#REF!="Leve"),CONCATENATE("R6C",'Mapa final'!#REF!),"")</f>
        <v>#REF!</v>
      </c>
      <c r="P41" s="67" t="e">
        <f>IF(AND('Mapa final'!#REF!="Baja",'Mapa final'!#REF!="Menor"),CONCATENATE("R6C",'Mapa final'!#REF!),"")</f>
        <v>#REF!</v>
      </c>
      <c r="Q41" s="68" t="e">
        <f>IF(AND('Mapa final'!#REF!="Baja",'Mapa final'!#REF!="Menor"),CONCATENATE("R6C",'Mapa final'!#REF!),"")</f>
        <v>#REF!</v>
      </c>
      <c r="R41" s="68" t="e">
        <f>IF(AND('Mapa final'!#REF!="Baja",'Mapa final'!#REF!="Menor"),CONCATENATE("R6C",'Mapa final'!#REF!),"")</f>
        <v>#REF!</v>
      </c>
      <c r="S41" s="68" t="e">
        <f>IF(AND('Mapa final'!#REF!="Baja",'Mapa final'!#REF!="Menor"),CONCATENATE("R6C",'Mapa final'!#REF!),"")</f>
        <v>#REF!</v>
      </c>
      <c r="T41" s="68" t="e">
        <f>IF(AND('Mapa final'!#REF!="Baja",'Mapa final'!#REF!="Menor"),CONCATENATE("R6C",'Mapa final'!#REF!),"")</f>
        <v>#REF!</v>
      </c>
      <c r="U41" s="69" t="e">
        <f>IF(AND('Mapa final'!#REF!="Baja",'Mapa final'!#REF!="Menor"),CONCATENATE("R6C",'Mapa final'!#REF!),"")</f>
        <v>#REF!</v>
      </c>
      <c r="V41" s="67" t="e">
        <f>IF(AND('Mapa final'!#REF!="Baja",'Mapa final'!#REF!="Moderado"),CONCATENATE("R6C",'Mapa final'!#REF!),"")</f>
        <v>#REF!</v>
      </c>
      <c r="W41" s="68" t="e">
        <f>IF(AND('Mapa final'!#REF!="Baja",'Mapa final'!#REF!="Moderado"),CONCATENATE("R6C",'Mapa final'!#REF!),"")</f>
        <v>#REF!</v>
      </c>
      <c r="X41" s="68" t="e">
        <f>IF(AND('Mapa final'!#REF!="Baja",'Mapa final'!#REF!="Moderado"),CONCATENATE("R6C",'Mapa final'!#REF!),"")</f>
        <v>#REF!</v>
      </c>
      <c r="Y41" s="68" t="e">
        <f>IF(AND('Mapa final'!#REF!="Baja",'Mapa final'!#REF!="Moderado"),CONCATENATE("R6C",'Mapa final'!#REF!),"")</f>
        <v>#REF!</v>
      </c>
      <c r="Z41" s="68" t="e">
        <f>IF(AND('Mapa final'!#REF!="Baja",'Mapa final'!#REF!="Moderado"),CONCATENATE("R6C",'Mapa final'!#REF!),"")</f>
        <v>#REF!</v>
      </c>
      <c r="AA41" s="69" t="e">
        <f>IF(AND('Mapa final'!#REF!="Baja",'Mapa final'!#REF!="Moderado"),CONCATENATE("R6C",'Mapa final'!#REF!),"")</f>
        <v>#REF!</v>
      </c>
      <c r="AB41" s="52" t="e">
        <f>IF(AND('Mapa final'!#REF!="Baja",'Mapa final'!#REF!="Mayor"),CONCATENATE("R6C",'Mapa final'!#REF!),"")</f>
        <v>#REF!</v>
      </c>
      <c r="AC41" s="53" t="e">
        <f>IF(AND('Mapa final'!#REF!="Baja",'Mapa final'!#REF!="Mayor"),CONCATENATE("R6C",'Mapa final'!#REF!),"")</f>
        <v>#REF!</v>
      </c>
      <c r="AD41" s="53" t="e">
        <f>IF(AND('Mapa final'!#REF!="Baja",'Mapa final'!#REF!="Mayor"),CONCATENATE("R6C",'Mapa final'!#REF!),"")</f>
        <v>#REF!</v>
      </c>
      <c r="AE41" s="53" t="e">
        <f>IF(AND('Mapa final'!#REF!="Baja",'Mapa final'!#REF!="Mayor"),CONCATENATE("R6C",'Mapa final'!#REF!),"")</f>
        <v>#REF!</v>
      </c>
      <c r="AF41" s="53" t="e">
        <f>IF(AND('Mapa final'!#REF!="Baja",'Mapa final'!#REF!="Mayor"),CONCATENATE("R6C",'Mapa final'!#REF!),"")</f>
        <v>#REF!</v>
      </c>
      <c r="AG41" s="54" t="e">
        <f>IF(AND('Mapa final'!#REF!="Baja",'Mapa final'!#REF!="Mayor"),CONCATENATE("R6C",'Mapa final'!#REF!),"")</f>
        <v>#REF!</v>
      </c>
      <c r="AH41" s="55" t="e">
        <f>IF(AND('Mapa final'!#REF!="Baja",'Mapa final'!#REF!="Catastrófico"),CONCATENATE("R6C",'Mapa final'!#REF!),"")</f>
        <v>#REF!</v>
      </c>
      <c r="AI41" s="56" t="e">
        <f>IF(AND('Mapa final'!#REF!="Baja",'Mapa final'!#REF!="Catastrófico"),CONCATENATE("R6C",'Mapa final'!#REF!),"")</f>
        <v>#REF!</v>
      </c>
      <c r="AJ41" s="56" t="e">
        <f>IF(AND('Mapa final'!#REF!="Baja",'Mapa final'!#REF!="Catastrófico"),CONCATENATE("R6C",'Mapa final'!#REF!),"")</f>
        <v>#REF!</v>
      </c>
      <c r="AK41" s="56" t="e">
        <f>IF(AND('Mapa final'!#REF!="Baja",'Mapa final'!#REF!="Catastrófico"),CONCATENATE("R6C",'Mapa final'!#REF!),"")</f>
        <v>#REF!</v>
      </c>
      <c r="AL41" s="56" t="e">
        <f>IF(AND('Mapa final'!#REF!="Baja",'Mapa final'!#REF!="Catastrófico"),CONCATENATE("R6C",'Mapa final'!#REF!),"")</f>
        <v>#REF!</v>
      </c>
      <c r="AM41" s="57" t="e">
        <f>IF(AND('Mapa final'!#REF!="Baja",'Mapa final'!#REF!="Catastrófico"),CONCATENATE("R6C",'Mapa final'!#REF!),"")</f>
        <v>#REF!</v>
      </c>
      <c r="AN41" s="83"/>
      <c r="AO41" s="503"/>
      <c r="AP41" s="504"/>
      <c r="AQ41" s="504"/>
      <c r="AR41" s="504"/>
      <c r="AS41" s="504"/>
      <c r="AT41" s="505"/>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384"/>
      <c r="C42" s="384"/>
      <c r="D42" s="385"/>
      <c r="E42" s="483"/>
      <c r="F42" s="482"/>
      <c r="G42" s="482"/>
      <c r="H42" s="482"/>
      <c r="I42" s="482"/>
      <c r="J42" s="76" t="e">
        <f>IF(AND('Mapa final'!#REF!="Baja",'Mapa final'!#REF!="Leve"),CONCATENATE("R7C",'Mapa final'!#REF!),"")</f>
        <v>#REF!</v>
      </c>
      <c r="K42" s="77" t="e">
        <f>IF(AND('Mapa final'!#REF!="Baja",'Mapa final'!#REF!="Leve"),CONCATENATE("R7C",'Mapa final'!#REF!),"")</f>
        <v>#REF!</v>
      </c>
      <c r="L42" s="77" t="e">
        <f>IF(AND('Mapa final'!#REF!="Baja",'Mapa final'!#REF!="Leve"),CONCATENATE("R7C",'Mapa final'!#REF!),"")</f>
        <v>#REF!</v>
      </c>
      <c r="M42" s="77" t="e">
        <f>IF(AND('Mapa final'!#REF!="Baja",'Mapa final'!#REF!="Leve"),CONCATENATE("R7C",'Mapa final'!#REF!),"")</f>
        <v>#REF!</v>
      </c>
      <c r="N42" s="77" t="e">
        <f>IF(AND('Mapa final'!#REF!="Baja",'Mapa final'!#REF!="Leve"),CONCATENATE("R7C",'Mapa final'!#REF!),"")</f>
        <v>#REF!</v>
      </c>
      <c r="O42" s="78" t="e">
        <f>IF(AND('Mapa final'!#REF!="Baja",'Mapa final'!#REF!="Leve"),CONCATENATE("R7C",'Mapa final'!#REF!),"")</f>
        <v>#REF!</v>
      </c>
      <c r="P42" s="67" t="e">
        <f>IF(AND('Mapa final'!#REF!="Baja",'Mapa final'!#REF!="Menor"),CONCATENATE("R7C",'Mapa final'!#REF!),"")</f>
        <v>#REF!</v>
      </c>
      <c r="Q42" s="68" t="e">
        <f>IF(AND('Mapa final'!#REF!="Baja",'Mapa final'!#REF!="Menor"),CONCATENATE("R7C",'Mapa final'!#REF!),"")</f>
        <v>#REF!</v>
      </c>
      <c r="R42" s="68" t="e">
        <f>IF(AND('Mapa final'!#REF!="Baja",'Mapa final'!#REF!="Menor"),CONCATENATE("R7C",'Mapa final'!#REF!),"")</f>
        <v>#REF!</v>
      </c>
      <c r="S42" s="68" t="e">
        <f>IF(AND('Mapa final'!#REF!="Baja",'Mapa final'!#REF!="Menor"),CONCATENATE("R7C",'Mapa final'!#REF!),"")</f>
        <v>#REF!</v>
      </c>
      <c r="T42" s="68" t="e">
        <f>IF(AND('Mapa final'!#REF!="Baja",'Mapa final'!#REF!="Menor"),CONCATENATE("R7C",'Mapa final'!#REF!),"")</f>
        <v>#REF!</v>
      </c>
      <c r="U42" s="69" t="e">
        <f>IF(AND('Mapa final'!#REF!="Baja",'Mapa final'!#REF!="Menor"),CONCATENATE("R7C",'Mapa final'!#REF!),"")</f>
        <v>#REF!</v>
      </c>
      <c r="V42" s="67" t="e">
        <f>IF(AND('Mapa final'!#REF!="Baja",'Mapa final'!#REF!="Moderado"),CONCATENATE("R7C",'Mapa final'!#REF!),"")</f>
        <v>#REF!</v>
      </c>
      <c r="W42" s="68" t="e">
        <f>IF(AND('Mapa final'!#REF!="Baja",'Mapa final'!#REF!="Moderado"),CONCATENATE("R7C",'Mapa final'!#REF!),"")</f>
        <v>#REF!</v>
      </c>
      <c r="X42" s="68" t="e">
        <f>IF(AND('Mapa final'!#REF!="Baja",'Mapa final'!#REF!="Moderado"),CONCATENATE("R7C",'Mapa final'!#REF!),"")</f>
        <v>#REF!</v>
      </c>
      <c r="Y42" s="68" t="e">
        <f>IF(AND('Mapa final'!#REF!="Baja",'Mapa final'!#REF!="Moderado"),CONCATENATE("R7C",'Mapa final'!#REF!),"")</f>
        <v>#REF!</v>
      </c>
      <c r="Z42" s="68" t="e">
        <f>IF(AND('Mapa final'!#REF!="Baja",'Mapa final'!#REF!="Moderado"),CONCATENATE("R7C",'Mapa final'!#REF!),"")</f>
        <v>#REF!</v>
      </c>
      <c r="AA42" s="69" t="e">
        <f>IF(AND('Mapa final'!#REF!="Baja",'Mapa final'!#REF!="Moderado"),CONCATENATE("R7C",'Mapa final'!#REF!),"")</f>
        <v>#REF!</v>
      </c>
      <c r="AB42" s="52" t="e">
        <f>IF(AND('Mapa final'!#REF!="Baja",'Mapa final'!#REF!="Mayor"),CONCATENATE("R7C",'Mapa final'!#REF!),"")</f>
        <v>#REF!</v>
      </c>
      <c r="AC42" s="53" t="e">
        <f>IF(AND('Mapa final'!#REF!="Baja",'Mapa final'!#REF!="Mayor"),CONCATENATE("R7C",'Mapa final'!#REF!),"")</f>
        <v>#REF!</v>
      </c>
      <c r="AD42" s="53" t="e">
        <f>IF(AND('Mapa final'!#REF!="Baja",'Mapa final'!#REF!="Mayor"),CONCATENATE("R7C",'Mapa final'!#REF!),"")</f>
        <v>#REF!</v>
      </c>
      <c r="AE42" s="53" t="e">
        <f>IF(AND('Mapa final'!#REF!="Baja",'Mapa final'!#REF!="Mayor"),CONCATENATE("R7C",'Mapa final'!#REF!),"")</f>
        <v>#REF!</v>
      </c>
      <c r="AF42" s="53" t="e">
        <f>IF(AND('Mapa final'!#REF!="Baja",'Mapa final'!#REF!="Mayor"),CONCATENATE("R7C",'Mapa final'!#REF!),"")</f>
        <v>#REF!</v>
      </c>
      <c r="AG42" s="54" t="e">
        <f>IF(AND('Mapa final'!#REF!="Baja",'Mapa final'!#REF!="Mayor"),CONCATENATE("R7C",'Mapa final'!#REF!),"")</f>
        <v>#REF!</v>
      </c>
      <c r="AH42" s="55" t="e">
        <f>IF(AND('Mapa final'!#REF!="Baja",'Mapa final'!#REF!="Catastrófico"),CONCATENATE("R7C",'Mapa final'!#REF!),"")</f>
        <v>#REF!</v>
      </c>
      <c r="AI42" s="56" t="e">
        <f>IF(AND('Mapa final'!#REF!="Baja",'Mapa final'!#REF!="Catastrófico"),CONCATENATE("R7C",'Mapa final'!#REF!),"")</f>
        <v>#REF!</v>
      </c>
      <c r="AJ42" s="56" t="e">
        <f>IF(AND('Mapa final'!#REF!="Baja",'Mapa final'!#REF!="Catastrófico"),CONCATENATE("R7C",'Mapa final'!#REF!),"")</f>
        <v>#REF!</v>
      </c>
      <c r="AK42" s="56" t="e">
        <f>IF(AND('Mapa final'!#REF!="Baja",'Mapa final'!#REF!="Catastrófico"),CONCATENATE("R7C",'Mapa final'!#REF!),"")</f>
        <v>#REF!</v>
      </c>
      <c r="AL42" s="56" t="e">
        <f>IF(AND('Mapa final'!#REF!="Baja",'Mapa final'!#REF!="Catastrófico"),CONCATENATE("R7C",'Mapa final'!#REF!),"")</f>
        <v>#REF!</v>
      </c>
      <c r="AM42" s="57" t="e">
        <f>IF(AND('Mapa final'!#REF!="Baja",'Mapa final'!#REF!="Catastrófico"),CONCATENATE("R7C",'Mapa final'!#REF!),"")</f>
        <v>#REF!</v>
      </c>
      <c r="AN42" s="83"/>
      <c r="AO42" s="503"/>
      <c r="AP42" s="504"/>
      <c r="AQ42" s="504"/>
      <c r="AR42" s="504"/>
      <c r="AS42" s="504"/>
      <c r="AT42" s="505"/>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384"/>
      <c r="C43" s="384"/>
      <c r="D43" s="385"/>
      <c r="E43" s="483"/>
      <c r="F43" s="482"/>
      <c r="G43" s="482"/>
      <c r="H43" s="482"/>
      <c r="I43" s="482"/>
      <c r="J43" s="76" t="str">
        <f>IF(AND('Mapa final'!$Y$29="Baja",'Mapa final'!$AA$29="Leve"),CONCATENATE("R8C",'Mapa final'!$O$29),"")</f>
        <v/>
      </c>
      <c r="K43" s="77" t="e">
        <f>IF(AND('Mapa final'!#REF!="Baja",'Mapa final'!#REF!="Leve"),CONCATENATE("R8C",'Mapa final'!#REF!),"")</f>
        <v>#REF!</v>
      </c>
      <c r="L43" s="77" t="e">
        <f>IF(AND('Mapa final'!#REF!="Baja",'Mapa final'!#REF!="Leve"),CONCATENATE("R8C",'Mapa final'!#REF!),"")</f>
        <v>#REF!</v>
      </c>
      <c r="M43" s="77" t="e">
        <f>IF(AND('Mapa final'!#REF!="Baja",'Mapa final'!#REF!="Leve"),CONCATENATE("R8C",'Mapa final'!#REF!),"")</f>
        <v>#REF!</v>
      </c>
      <c r="N43" s="77" t="e">
        <f>IF(AND('Mapa final'!#REF!="Baja",'Mapa final'!#REF!="Leve"),CONCATENATE("R8C",'Mapa final'!#REF!),"")</f>
        <v>#REF!</v>
      </c>
      <c r="O43" s="78" t="e">
        <f>IF(AND('Mapa final'!#REF!="Baja",'Mapa final'!#REF!="Leve"),CONCATENATE("R8C",'Mapa final'!#REF!),"")</f>
        <v>#REF!</v>
      </c>
      <c r="P43" s="67" t="str">
        <f>IF(AND('Mapa final'!$Y$29="Baja",'Mapa final'!$AA$29="Menor"),CONCATENATE("R8C",'Mapa final'!$O$29),"")</f>
        <v/>
      </c>
      <c r="Q43" s="68" t="e">
        <f>IF(AND('Mapa final'!#REF!="Baja",'Mapa final'!#REF!="Menor"),CONCATENATE("R8C",'Mapa final'!#REF!),"")</f>
        <v>#REF!</v>
      </c>
      <c r="R43" s="68" t="e">
        <f>IF(AND('Mapa final'!#REF!="Baja",'Mapa final'!#REF!="Menor"),CONCATENATE("R8C",'Mapa final'!#REF!),"")</f>
        <v>#REF!</v>
      </c>
      <c r="S43" s="68" t="e">
        <f>IF(AND('Mapa final'!#REF!="Baja",'Mapa final'!#REF!="Menor"),CONCATENATE("R8C",'Mapa final'!#REF!),"")</f>
        <v>#REF!</v>
      </c>
      <c r="T43" s="68" t="e">
        <f>IF(AND('Mapa final'!#REF!="Baja",'Mapa final'!#REF!="Menor"),CONCATENATE("R8C",'Mapa final'!#REF!),"")</f>
        <v>#REF!</v>
      </c>
      <c r="U43" s="69" t="e">
        <f>IF(AND('Mapa final'!#REF!="Baja",'Mapa final'!#REF!="Menor"),CONCATENATE("R8C",'Mapa final'!#REF!),"")</f>
        <v>#REF!</v>
      </c>
      <c r="V43" s="67" t="str">
        <f>IF(AND('Mapa final'!$Y$29="Baja",'Mapa final'!$AA$29="Moderado"),CONCATENATE("R8C",'Mapa final'!$O$29),"")</f>
        <v/>
      </c>
      <c r="W43" s="68" t="e">
        <f>IF(AND('Mapa final'!#REF!="Baja",'Mapa final'!#REF!="Moderado"),CONCATENATE("R8C",'Mapa final'!#REF!),"")</f>
        <v>#REF!</v>
      </c>
      <c r="X43" s="68" t="e">
        <f>IF(AND('Mapa final'!#REF!="Baja",'Mapa final'!#REF!="Moderado"),CONCATENATE("R8C",'Mapa final'!#REF!),"")</f>
        <v>#REF!</v>
      </c>
      <c r="Y43" s="68" t="e">
        <f>IF(AND('Mapa final'!#REF!="Baja",'Mapa final'!#REF!="Moderado"),CONCATENATE("R8C",'Mapa final'!#REF!),"")</f>
        <v>#REF!</v>
      </c>
      <c r="Z43" s="68" t="e">
        <f>IF(AND('Mapa final'!#REF!="Baja",'Mapa final'!#REF!="Moderado"),CONCATENATE("R8C",'Mapa final'!#REF!),"")</f>
        <v>#REF!</v>
      </c>
      <c r="AA43" s="69" t="e">
        <f>IF(AND('Mapa final'!#REF!="Baja",'Mapa final'!#REF!="Moderado"),CONCATENATE("R8C",'Mapa final'!#REF!),"")</f>
        <v>#REF!</v>
      </c>
      <c r="AB43" s="52" t="str">
        <f>IF(AND('Mapa final'!$Y$29="Baja",'Mapa final'!$AA$29="Mayor"),CONCATENATE("R8C",'Mapa final'!$O$29),"")</f>
        <v/>
      </c>
      <c r="AC43" s="53" t="e">
        <f>IF(AND('Mapa final'!#REF!="Baja",'Mapa final'!#REF!="Mayor"),CONCATENATE("R8C",'Mapa final'!#REF!),"")</f>
        <v>#REF!</v>
      </c>
      <c r="AD43" s="53" t="e">
        <f>IF(AND('Mapa final'!#REF!="Baja",'Mapa final'!#REF!="Mayor"),CONCATENATE("R8C",'Mapa final'!#REF!),"")</f>
        <v>#REF!</v>
      </c>
      <c r="AE43" s="53" t="e">
        <f>IF(AND('Mapa final'!#REF!="Baja",'Mapa final'!#REF!="Mayor"),CONCATENATE("R8C",'Mapa final'!#REF!),"")</f>
        <v>#REF!</v>
      </c>
      <c r="AF43" s="53" t="e">
        <f>IF(AND('Mapa final'!#REF!="Baja",'Mapa final'!#REF!="Mayor"),CONCATENATE("R8C",'Mapa final'!#REF!),"")</f>
        <v>#REF!</v>
      </c>
      <c r="AG43" s="54" t="e">
        <f>IF(AND('Mapa final'!#REF!="Baja",'Mapa final'!#REF!="Mayor"),CONCATENATE("R8C",'Mapa final'!#REF!),"")</f>
        <v>#REF!</v>
      </c>
      <c r="AH43" s="55" t="str">
        <f>IF(AND('Mapa final'!$Y$29="Baja",'Mapa final'!$AA$29="Catastrófico"),CONCATENATE("R8C",'Mapa final'!$O$29),"")</f>
        <v/>
      </c>
      <c r="AI43" s="56" t="e">
        <f>IF(AND('Mapa final'!#REF!="Baja",'Mapa final'!#REF!="Catastrófico"),CONCATENATE("R8C",'Mapa final'!#REF!),"")</f>
        <v>#REF!</v>
      </c>
      <c r="AJ43" s="56" t="e">
        <f>IF(AND('Mapa final'!#REF!="Baja",'Mapa final'!#REF!="Catastrófico"),CONCATENATE("R8C",'Mapa final'!#REF!),"")</f>
        <v>#REF!</v>
      </c>
      <c r="AK43" s="56" t="e">
        <f>IF(AND('Mapa final'!#REF!="Baja",'Mapa final'!#REF!="Catastrófico"),CONCATENATE("R8C",'Mapa final'!#REF!),"")</f>
        <v>#REF!</v>
      </c>
      <c r="AL43" s="56" t="e">
        <f>IF(AND('Mapa final'!#REF!="Baja",'Mapa final'!#REF!="Catastrófico"),CONCATENATE("R8C",'Mapa final'!#REF!),"")</f>
        <v>#REF!</v>
      </c>
      <c r="AM43" s="57" t="e">
        <f>IF(AND('Mapa final'!#REF!="Baja",'Mapa final'!#REF!="Catastrófico"),CONCATENATE("R8C",'Mapa final'!#REF!),"")</f>
        <v>#REF!</v>
      </c>
      <c r="AN43" s="83"/>
      <c r="AO43" s="503"/>
      <c r="AP43" s="504"/>
      <c r="AQ43" s="504"/>
      <c r="AR43" s="504"/>
      <c r="AS43" s="504"/>
      <c r="AT43" s="505"/>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384"/>
      <c r="C44" s="384"/>
      <c r="D44" s="385"/>
      <c r="E44" s="483"/>
      <c r="F44" s="482"/>
      <c r="G44" s="482"/>
      <c r="H44" s="482"/>
      <c r="I44" s="482"/>
      <c r="J44" s="76" t="str">
        <f>IF(AND('Mapa final'!$Y$30="Baja",'Mapa final'!$AA$30="Leve"),CONCATENATE("R9C",'Mapa final'!$O$30),"")</f>
        <v/>
      </c>
      <c r="K44" s="77" t="str">
        <f>IF(AND('Mapa final'!$Y$31="Baja",'Mapa final'!$AA$31="Leve"),CONCATENATE("R9C",'Mapa final'!$O$31),"")</f>
        <v/>
      </c>
      <c r="L44" s="77" t="str">
        <f>IF(AND('Mapa final'!$Y$32="Baja",'Mapa final'!$AA$32="Leve"),CONCATENATE("R9C",'Mapa final'!$O$32),"")</f>
        <v/>
      </c>
      <c r="M44" s="77" t="str">
        <f>IF(AND('Mapa final'!$Y$33="Baja",'Mapa final'!$AA$33="Leve"),CONCATENATE("R9C",'Mapa final'!$O$33),"")</f>
        <v/>
      </c>
      <c r="N44" s="77" t="str">
        <f>IF(AND('Mapa final'!$Y$34="Baja",'Mapa final'!$AA$34="Leve"),CONCATENATE("R9C",'Mapa final'!$O$34),"")</f>
        <v/>
      </c>
      <c r="O44" s="78" t="str">
        <f>IF(AND('Mapa final'!$Y$35="Baja",'Mapa final'!$AA$35="Leve"),CONCATENATE("R9C",'Mapa final'!$O$35),"")</f>
        <v/>
      </c>
      <c r="P44" s="67" t="str">
        <f>IF(AND('Mapa final'!$Y$30="Baja",'Mapa final'!$AA$30="Menor"),CONCATENATE("R9C",'Mapa final'!$O$30),"")</f>
        <v/>
      </c>
      <c r="Q44" s="68" t="str">
        <f>IF(AND('Mapa final'!$Y$31="Baja",'Mapa final'!$AA$31="Menor"),CONCATENATE("R9C",'Mapa final'!$O$31),"")</f>
        <v/>
      </c>
      <c r="R44" s="68" t="str">
        <f>IF(AND('Mapa final'!$Y$32="Baja",'Mapa final'!$AA$32="Menor"),CONCATENATE("R9C",'Mapa final'!$O$32),"")</f>
        <v/>
      </c>
      <c r="S44" s="68" t="str">
        <f>IF(AND('Mapa final'!$Y$33="Baja",'Mapa final'!$AA$33="Menor"),CONCATENATE("R9C",'Mapa final'!$O$33),"")</f>
        <v/>
      </c>
      <c r="T44" s="68" t="str">
        <f>IF(AND('Mapa final'!$Y$34="Baja",'Mapa final'!$AA$34="Menor"),CONCATENATE("R9C",'Mapa final'!$O$34),"")</f>
        <v/>
      </c>
      <c r="U44" s="69" t="str">
        <f>IF(AND('Mapa final'!$Y$35="Baja",'Mapa final'!$AA$35="Menor"),CONCATENATE("R9C",'Mapa final'!$O$35),"")</f>
        <v/>
      </c>
      <c r="V44" s="67" t="str">
        <f>IF(AND('Mapa final'!$Y$30="Baja",'Mapa final'!$AA$30="Moderado"),CONCATENATE("R9C",'Mapa final'!$O$30),"")</f>
        <v/>
      </c>
      <c r="W44" s="68" t="str">
        <f>IF(AND('Mapa final'!$Y$31="Baja",'Mapa final'!$AA$31="Moderado"),CONCATENATE("R9C",'Mapa final'!$O$31),"")</f>
        <v/>
      </c>
      <c r="X44" s="68" t="str">
        <f>IF(AND('Mapa final'!$Y$32="Baja",'Mapa final'!$AA$32="Moderado"),CONCATENATE("R9C",'Mapa final'!$O$32),"")</f>
        <v/>
      </c>
      <c r="Y44" s="68" t="str">
        <f>IF(AND('Mapa final'!$Y$33="Baja",'Mapa final'!$AA$33="Moderado"),CONCATENATE("R9C",'Mapa final'!$O$33),"")</f>
        <v/>
      </c>
      <c r="Z44" s="68" t="str">
        <f>IF(AND('Mapa final'!$Y$34="Baja",'Mapa final'!$AA$34="Moderado"),CONCATENATE("R9C",'Mapa final'!$O$34),"")</f>
        <v/>
      </c>
      <c r="AA44" s="69" t="str">
        <f>IF(AND('Mapa final'!$Y$35="Baja",'Mapa final'!$AA$35="Moderado"),CONCATENATE("R9C",'Mapa final'!$O$35),"")</f>
        <v/>
      </c>
      <c r="AB44" s="52" t="str">
        <f>IF(AND('Mapa final'!$Y$30="Baja",'Mapa final'!$AA$30="Mayor"),CONCATENATE("R9C",'Mapa final'!$O$30),"")</f>
        <v/>
      </c>
      <c r="AC44" s="53" t="str">
        <f>IF(AND('Mapa final'!$Y$31="Baja",'Mapa final'!$AA$31="Mayor"),CONCATENATE("R9C",'Mapa final'!$O$31),"")</f>
        <v/>
      </c>
      <c r="AD44" s="53" t="str">
        <f>IF(AND('Mapa final'!$Y$32="Baja",'Mapa final'!$AA$32="Mayor"),CONCATENATE("R9C",'Mapa final'!$O$32),"")</f>
        <v/>
      </c>
      <c r="AE44" s="53" t="str">
        <f>IF(AND('Mapa final'!$Y$33="Baja",'Mapa final'!$AA$33="Mayor"),CONCATENATE("R9C",'Mapa final'!$O$33),"")</f>
        <v/>
      </c>
      <c r="AF44" s="53" t="str">
        <f>IF(AND('Mapa final'!$Y$34="Baja",'Mapa final'!$AA$34="Mayor"),CONCATENATE("R9C",'Mapa final'!$O$34),"")</f>
        <v/>
      </c>
      <c r="AG44" s="54" t="str">
        <f>IF(AND('Mapa final'!$Y$35="Baja",'Mapa final'!$AA$35="Mayor"),CONCATENATE("R9C",'Mapa final'!$O$35),"")</f>
        <v/>
      </c>
      <c r="AH44" s="55" t="str">
        <f>IF(AND('Mapa final'!$Y$30="Baja",'Mapa final'!$AA$30="Catastrófico"),CONCATENATE("R9C",'Mapa final'!$O$30),"")</f>
        <v/>
      </c>
      <c r="AI44" s="56" t="str">
        <f>IF(AND('Mapa final'!$Y$31="Baja",'Mapa final'!$AA$31="Catastrófico"),CONCATENATE("R9C",'Mapa final'!$O$31),"")</f>
        <v/>
      </c>
      <c r="AJ44" s="56" t="str">
        <f>IF(AND('Mapa final'!$Y$32="Baja",'Mapa final'!$AA$32="Catastrófico"),CONCATENATE("R9C",'Mapa final'!$O$32),"")</f>
        <v/>
      </c>
      <c r="AK44" s="56" t="str">
        <f>IF(AND('Mapa final'!$Y$33="Baja",'Mapa final'!$AA$33="Catastrófico"),CONCATENATE("R9C",'Mapa final'!$O$33),"")</f>
        <v/>
      </c>
      <c r="AL44" s="56" t="str">
        <f>IF(AND('Mapa final'!$Y$34="Baja",'Mapa final'!$AA$34="Catastrófico"),CONCATENATE("R9C",'Mapa final'!$O$34),"")</f>
        <v/>
      </c>
      <c r="AM44" s="57" t="str">
        <f>IF(AND('Mapa final'!$Y$35="Baja",'Mapa final'!$AA$35="Catastrófico"),CONCATENATE("R9C",'Mapa final'!$O$35),"")</f>
        <v/>
      </c>
      <c r="AN44" s="83"/>
      <c r="AO44" s="503"/>
      <c r="AP44" s="504"/>
      <c r="AQ44" s="504"/>
      <c r="AR44" s="504"/>
      <c r="AS44" s="504"/>
      <c r="AT44" s="505"/>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384"/>
      <c r="C45" s="384"/>
      <c r="D45" s="385"/>
      <c r="E45" s="484"/>
      <c r="F45" s="485"/>
      <c r="G45" s="485"/>
      <c r="H45" s="485"/>
      <c r="I45" s="485"/>
      <c r="J45" s="79" t="str">
        <f>IF(AND('Mapa final'!$Y$36="Baja",'Mapa final'!$AA$36="Leve"),CONCATENATE("R10C",'Mapa final'!$O$36),"")</f>
        <v/>
      </c>
      <c r="K45" s="80" t="str">
        <f>IF(AND('Mapa final'!$Y$37="Baja",'Mapa final'!$AA$37="Leve"),CONCATENATE("R10C",'Mapa final'!$O$37),"")</f>
        <v/>
      </c>
      <c r="L45" s="80" t="str">
        <f>IF(AND('Mapa final'!$Y$38="Baja",'Mapa final'!$AA$38="Leve"),CONCATENATE("R10C",'Mapa final'!$O$38),"")</f>
        <v/>
      </c>
      <c r="M45" s="80" t="str">
        <f>IF(AND('Mapa final'!$Y$39="Baja",'Mapa final'!$AA$39="Leve"),CONCATENATE("R10C",'Mapa final'!$O$39),"")</f>
        <v/>
      </c>
      <c r="N45" s="80" t="str">
        <f>IF(AND('Mapa final'!$Y$40="Baja",'Mapa final'!$AA$40="Leve"),CONCATENATE("R10C",'Mapa final'!$O$40),"")</f>
        <v/>
      </c>
      <c r="O45" s="81" t="str">
        <f>IF(AND('Mapa final'!$Y$41="Baja",'Mapa final'!$AA$41="Leve"),CONCATENATE("R10C",'Mapa final'!$O$41),"")</f>
        <v/>
      </c>
      <c r="P45" s="67" t="str">
        <f>IF(AND('Mapa final'!$Y$36="Baja",'Mapa final'!$AA$36="Menor"),CONCATENATE("R10C",'Mapa final'!$O$36),"")</f>
        <v/>
      </c>
      <c r="Q45" s="68" t="str">
        <f>IF(AND('Mapa final'!$Y$37="Baja",'Mapa final'!$AA$37="Menor"),CONCATENATE("R10C",'Mapa final'!$O$37),"")</f>
        <v/>
      </c>
      <c r="R45" s="68" t="str">
        <f>IF(AND('Mapa final'!$Y$38="Baja",'Mapa final'!$AA$38="Menor"),CONCATENATE("R10C",'Mapa final'!$O$38),"")</f>
        <v/>
      </c>
      <c r="S45" s="68" t="str">
        <f>IF(AND('Mapa final'!$Y$39="Baja",'Mapa final'!$AA$39="Menor"),CONCATENATE("R10C",'Mapa final'!$O$39),"")</f>
        <v/>
      </c>
      <c r="T45" s="68" t="str">
        <f>IF(AND('Mapa final'!$Y$40="Baja",'Mapa final'!$AA$40="Menor"),CONCATENATE("R10C",'Mapa final'!$O$40),"")</f>
        <v/>
      </c>
      <c r="U45" s="69" t="str">
        <f>IF(AND('Mapa final'!$Y$41="Baja",'Mapa final'!$AA$41="Menor"),CONCATENATE("R10C",'Mapa final'!$O$41),"")</f>
        <v/>
      </c>
      <c r="V45" s="70" t="str">
        <f>IF(AND('Mapa final'!$Y$36="Baja",'Mapa final'!$AA$36="Moderado"),CONCATENATE("R10C",'Mapa final'!$O$36),"")</f>
        <v/>
      </c>
      <c r="W45" s="71" t="str">
        <f>IF(AND('Mapa final'!$Y$37="Baja",'Mapa final'!$AA$37="Moderado"),CONCATENATE("R10C",'Mapa final'!$O$37),"")</f>
        <v/>
      </c>
      <c r="X45" s="71" t="str">
        <f>IF(AND('Mapa final'!$Y$38="Baja",'Mapa final'!$AA$38="Moderado"),CONCATENATE("R10C",'Mapa final'!$O$38),"")</f>
        <v/>
      </c>
      <c r="Y45" s="71" t="str">
        <f>IF(AND('Mapa final'!$Y$39="Baja",'Mapa final'!$AA$39="Moderado"),CONCATENATE("R10C",'Mapa final'!$O$39),"")</f>
        <v/>
      </c>
      <c r="Z45" s="71" t="str">
        <f>IF(AND('Mapa final'!$Y$40="Baja",'Mapa final'!$AA$40="Moderado"),CONCATENATE("R10C",'Mapa final'!$O$40),"")</f>
        <v/>
      </c>
      <c r="AA45" s="72" t="str">
        <f>IF(AND('Mapa final'!$Y$41="Baja",'Mapa final'!$AA$41="Moderado"),CONCATENATE("R10C",'Mapa final'!$O$41),"")</f>
        <v/>
      </c>
      <c r="AB45" s="58" t="str">
        <f>IF(AND('Mapa final'!$Y$36="Baja",'Mapa final'!$AA$36="Mayor"),CONCATENATE("R10C",'Mapa final'!$O$36),"")</f>
        <v/>
      </c>
      <c r="AC45" s="59" t="str">
        <f>IF(AND('Mapa final'!$Y$37="Baja",'Mapa final'!$AA$37="Mayor"),CONCATENATE("R10C",'Mapa final'!$O$37),"")</f>
        <v/>
      </c>
      <c r="AD45" s="59" t="str">
        <f>IF(AND('Mapa final'!$Y$38="Baja",'Mapa final'!$AA$38="Mayor"),CONCATENATE("R10C",'Mapa final'!$O$38),"")</f>
        <v/>
      </c>
      <c r="AE45" s="59" t="str">
        <f>IF(AND('Mapa final'!$Y$39="Baja",'Mapa final'!$AA$39="Mayor"),CONCATENATE("R10C",'Mapa final'!$O$39),"")</f>
        <v/>
      </c>
      <c r="AF45" s="59" t="str">
        <f>IF(AND('Mapa final'!$Y$40="Baja",'Mapa final'!$AA$40="Mayor"),CONCATENATE("R10C",'Mapa final'!$O$40),"")</f>
        <v/>
      </c>
      <c r="AG45" s="60" t="str">
        <f>IF(AND('Mapa final'!$Y$41="Baja",'Mapa final'!$AA$41="Mayor"),CONCATENATE("R10C",'Mapa final'!$O$41),"")</f>
        <v/>
      </c>
      <c r="AH45" s="61" t="str">
        <f>IF(AND('Mapa final'!$Y$36="Baja",'Mapa final'!$AA$36="Catastrófico"),CONCATENATE("R10C",'Mapa final'!$O$36),"")</f>
        <v/>
      </c>
      <c r="AI45" s="62" t="str">
        <f>IF(AND('Mapa final'!$Y$37="Baja",'Mapa final'!$AA$37="Catastrófico"),CONCATENATE("R10C",'Mapa final'!$O$37),"")</f>
        <v/>
      </c>
      <c r="AJ45" s="62" t="str">
        <f>IF(AND('Mapa final'!$Y$38="Baja",'Mapa final'!$AA$38="Catastrófico"),CONCATENATE("R10C",'Mapa final'!$O$38),"")</f>
        <v/>
      </c>
      <c r="AK45" s="62" t="str">
        <f>IF(AND('Mapa final'!$Y$39="Baja",'Mapa final'!$AA$39="Catastrófico"),CONCATENATE("R10C",'Mapa final'!$O$39),"")</f>
        <v/>
      </c>
      <c r="AL45" s="62" t="str">
        <f>IF(AND('Mapa final'!$Y$40="Baja",'Mapa final'!$AA$40="Catastrófico"),CONCATENATE("R10C",'Mapa final'!$O$40),"")</f>
        <v/>
      </c>
      <c r="AM45" s="63" t="str">
        <f>IF(AND('Mapa final'!$Y$41="Baja",'Mapa final'!$AA$41="Catastrófico"),CONCATENATE("R10C",'Mapa final'!$O$41),"")</f>
        <v/>
      </c>
      <c r="AN45" s="83"/>
      <c r="AO45" s="506"/>
      <c r="AP45" s="507"/>
      <c r="AQ45" s="507"/>
      <c r="AR45" s="507"/>
      <c r="AS45" s="507"/>
      <c r="AT45" s="508"/>
    </row>
    <row r="46" spans="1:80" ht="46.5" customHeight="1" x14ac:dyDescent="0.35">
      <c r="A46" s="83"/>
      <c r="B46" s="384"/>
      <c r="C46" s="384"/>
      <c r="D46" s="385"/>
      <c r="E46" s="479" t="s">
        <v>100</v>
      </c>
      <c r="F46" s="480"/>
      <c r="G46" s="480"/>
      <c r="H46" s="480"/>
      <c r="I46" s="497"/>
      <c r="J46" s="73" t="str">
        <f>IF(AND('Mapa final'!$Y$25="Muy Baja",'Mapa final'!$AA$25="Leve"),CONCATENATE("R1C",'Mapa final'!$O$25),"")</f>
        <v/>
      </c>
      <c r="K46" s="74" t="e">
        <f>IF(AND('Mapa final'!#REF!="Muy Baja",'Mapa final'!#REF!="Leve"),CONCATENATE("R1C",'Mapa final'!#REF!),"")</f>
        <v>#REF!</v>
      </c>
      <c r="L46" s="74" t="e">
        <f>IF(AND('Mapa final'!#REF!="Muy Baja",'Mapa final'!#REF!="Leve"),CONCATENATE("R1C",'Mapa final'!#REF!),"")</f>
        <v>#REF!</v>
      </c>
      <c r="M46" s="74" t="e">
        <f>IF(AND('Mapa final'!#REF!="Muy Baja",'Mapa final'!#REF!="Leve"),CONCATENATE("R1C",'Mapa final'!#REF!),"")</f>
        <v>#REF!</v>
      </c>
      <c r="N46" s="74" t="e">
        <f>IF(AND('Mapa final'!#REF!="Muy Baja",'Mapa final'!#REF!="Leve"),CONCATENATE("R1C",'Mapa final'!#REF!),"")</f>
        <v>#REF!</v>
      </c>
      <c r="O46" s="75" t="e">
        <f>IF(AND('Mapa final'!#REF!="Muy Baja",'Mapa final'!#REF!="Leve"),CONCATENATE("R1C",'Mapa final'!#REF!),"")</f>
        <v>#REF!</v>
      </c>
      <c r="P46" s="73" t="str">
        <f>IF(AND('Mapa final'!$Y$25="Muy Baja",'Mapa final'!$AA$25="Menor"),CONCATENATE("R1C",'Mapa final'!$O$25),"")</f>
        <v/>
      </c>
      <c r="Q46" s="74" t="e">
        <f>IF(AND('Mapa final'!#REF!="Muy Baja",'Mapa final'!#REF!="Menor"),CONCATENATE("R1C",'Mapa final'!#REF!),"")</f>
        <v>#REF!</v>
      </c>
      <c r="R46" s="74" t="e">
        <f>IF(AND('Mapa final'!#REF!="Muy Baja",'Mapa final'!#REF!="Menor"),CONCATENATE("R1C",'Mapa final'!#REF!),"")</f>
        <v>#REF!</v>
      </c>
      <c r="S46" s="74" t="e">
        <f>IF(AND('Mapa final'!#REF!="Muy Baja",'Mapa final'!#REF!="Menor"),CONCATENATE("R1C",'Mapa final'!#REF!),"")</f>
        <v>#REF!</v>
      </c>
      <c r="T46" s="74" t="e">
        <f>IF(AND('Mapa final'!#REF!="Muy Baja",'Mapa final'!#REF!="Menor"),CONCATENATE("R1C",'Mapa final'!#REF!),"")</f>
        <v>#REF!</v>
      </c>
      <c r="U46" s="75" t="e">
        <f>IF(AND('Mapa final'!#REF!="Muy Baja",'Mapa final'!#REF!="Menor"),CONCATENATE("R1C",'Mapa final'!#REF!),"")</f>
        <v>#REF!</v>
      </c>
      <c r="V46" s="64" t="str">
        <f>IF(AND('Mapa final'!$Y$25="Muy Baja",'Mapa final'!$AA$25="Moderado"),CONCATENATE("R1C",'Mapa final'!$O$25),"")</f>
        <v/>
      </c>
      <c r="W46" s="82" t="e">
        <f>IF(AND('Mapa final'!#REF!="Muy Baja",'Mapa final'!#REF!="Moderado"),CONCATENATE("R1C",'Mapa final'!#REF!),"")</f>
        <v>#REF!</v>
      </c>
      <c r="X46" s="65" t="e">
        <f>IF(AND('Mapa final'!#REF!="Muy Baja",'Mapa final'!#REF!="Moderado"),CONCATENATE("R1C",'Mapa final'!#REF!),"")</f>
        <v>#REF!</v>
      </c>
      <c r="Y46" s="65" t="e">
        <f>IF(AND('Mapa final'!#REF!="Muy Baja",'Mapa final'!#REF!="Moderado"),CONCATENATE("R1C",'Mapa final'!#REF!),"")</f>
        <v>#REF!</v>
      </c>
      <c r="Z46" s="65" t="e">
        <f>IF(AND('Mapa final'!#REF!="Muy Baja",'Mapa final'!#REF!="Moderado"),CONCATENATE("R1C",'Mapa final'!#REF!),"")</f>
        <v>#REF!</v>
      </c>
      <c r="AA46" s="66" t="e">
        <f>IF(AND('Mapa final'!#REF!="Muy Baja",'Mapa final'!#REF!="Moderado"),CONCATENATE("R1C",'Mapa final'!#REF!),"")</f>
        <v>#REF!</v>
      </c>
      <c r="AB46" s="46" t="str">
        <f>IF(AND('Mapa final'!$Y$25="Muy Baja",'Mapa final'!$AA$25="Mayor"),CONCATENATE("R1C",'Mapa final'!$O$25),"")</f>
        <v/>
      </c>
      <c r="AC46" s="47" t="e">
        <f>IF(AND('Mapa final'!#REF!="Muy Baja",'Mapa final'!#REF!="Mayor"),CONCATENATE("R1C",'Mapa final'!#REF!),"")</f>
        <v>#REF!</v>
      </c>
      <c r="AD46" s="47" t="e">
        <f>IF(AND('Mapa final'!#REF!="Muy Baja",'Mapa final'!#REF!="Mayor"),CONCATENATE("R1C",'Mapa final'!#REF!),"")</f>
        <v>#REF!</v>
      </c>
      <c r="AE46" s="47" t="e">
        <f>IF(AND('Mapa final'!#REF!="Muy Baja",'Mapa final'!#REF!="Mayor"),CONCATENATE("R1C",'Mapa final'!#REF!),"")</f>
        <v>#REF!</v>
      </c>
      <c r="AF46" s="47" t="e">
        <f>IF(AND('Mapa final'!#REF!="Muy Baja",'Mapa final'!#REF!="Mayor"),CONCATENATE("R1C",'Mapa final'!#REF!),"")</f>
        <v>#REF!</v>
      </c>
      <c r="AG46" s="48" t="e">
        <f>IF(AND('Mapa final'!#REF!="Muy Baja",'Mapa final'!#REF!="Mayor"),CONCATENATE("R1C",'Mapa final'!#REF!),"")</f>
        <v>#REF!</v>
      </c>
      <c r="AH46" s="49" t="str">
        <f>IF(AND('Mapa final'!$Y$25="Muy Baja",'Mapa final'!$AA$25="Catastrófico"),CONCATENATE("R1C",'Mapa final'!$O$25),"")</f>
        <v/>
      </c>
      <c r="AI46" s="50" t="e">
        <f>IF(AND('Mapa final'!#REF!="Muy Baja",'Mapa final'!#REF!="Catastrófico"),CONCATENATE("R1C",'Mapa final'!#REF!),"")</f>
        <v>#REF!</v>
      </c>
      <c r="AJ46" s="50" t="e">
        <f>IF(AND('Mapa final'!#REF!="Muy Baja",'Mapa final'!#REF!="Catastrófico"),CONCATENATE("R1C",'Mapa final'!#REF!),"")</f>
        <v>#REF!</v>
      </c>
      <c r="AK46" s="50" t="e">
        <f>IF(AND('Mapa final'!#REF!="Muy Baja",'Mapa final'!#REF!="Catastrófico"),CONCATENATE("R1C",'Mapa final'!#REF!),"")</f>
        <v>#REF!</v>
      </c>
      <c r="AL46" s="50" t="e">
        <f>IF(AND('Mapa final'!#REF!="Muy Baja",'Mapa final'!#REF!="Catastrófico"),CONCATENATE("R1C",'Mapa final'!#REF!),"")</f>
        <v>#REF!</v>
      </c>
      <c r="AM46" s="51" t="e">
        <f>IF(AND('Mapa final'!#REF!="Muy Baja",'Mapa final'!#REF!="Catastrófico"),CONCATENATE("R1C",'Mapa final'!#REF!),"")</f>
        <v>#REF!</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384"/>
      <c r="C47" s="384"/>
      <c r="D47" s="385"/>
      <c r="E47" s="481"/>
      <c r="F47" s="482"/>
      <c r="G47" s="482"/>
      <c r="H47" s="482"/>
      <c r="I47" s="498"/>
      <c r="J47" s="76" t="str">
        <f>IF(AND('Mapa final'!$Y$26="Muy Baja",'Mapa final'!$AA$26="Leve"),CONCATENATE("R2C",'Mapa final'!$O$26),"")</f>
        <v/>
      </c>
      <c r="K47" s="77" t="str">
        <f>IF(AND('Mapa final'!$Y$27="Muy Baja",'Mapa final'!$AA$27="Leve"),CONCATENATE("R2C",'Mapa final'!$O$27),"")</f>
        <v/>
      </c>
      <c r="L47" s="77" t="e">
        <f>IF(AND('Mapa final'!#REF!="Muy Baja",'Mapa final'!#REF!="Leve"),CONCATENATE("R2C",'Mapa final'!#REF!),"")</f>
        <v>#REF!</v>
      </c>
      <c r="M47" s="77" t="e">
        <f>IF(AND('Mapa final'!#REF!="Muy Baja",'Mapa final'!#REF!="Leve"),CONCATENATE("R2C",'Mapa final'!#REF!),"")</f>
        <v>#REF!</v>
      </c>
      <c r="N47" s="77" t="e">
        <f>IF(AND('Mapa final'!#REF!="Muy Baja",'Mapa final'!#REF!="Leve"),CONCATENATE("R2C",'Mapa final'!#REF!),"")</f>
        <v>#REF!</v>
      </c>
      <c r="O47" s="78" t="e">
        <f>IF(AND('Mapa final'!#REF!="Muy Baja",'Mapa final'!#REF!="Leve"),CONCATENATE("R2C",'Mapa final'!#REF!),"")</f>
        <v>#REF!</v>
      </c>
      <c r="P47" s="76" t="str">
        <f>IF(AND('Mapa final'!$Y$26="Muy Baja",'Mapa final'!$AA$26="Menor"),CONCATENATE("R2C",'Mapa final'!$O$26),"")</f>
        <v/>
      </c>
      <c r="Q47" s="77" t="str">
        <f>IF(AND('Mapa final'!$Y$27="Muy Baja",'Mapa final'!$AA$27="Menor"),CONCATENATE("R2C",'Mapa final'!$O$27),"")</f>
        <v/>
      </c>
      <c r="R47" s="77" t="e">
        <f>IF(AND('Mapa final'!#REF!="Muy Baja",'Mapa final'!#REF!="Menor"),CONCATENATE("R2C",'Mapa final'!#REF!),"")</f>
        <v>#REF!</v>
      </c>
      <c r="S47" s="77" t="e">
        <f>IF(AND('Mapa final'!#REF!="Muy Baja",'Mapa final'!#REF!="Menor"),CONCATENATE("R2C",'Mapa final'!#REF!),"")</f>
        <v>#REF!</v>
      </c>
      <c r="T47" s="77" t="e">
        <f>IF(AND('Mapa final'!#REF!="Muy Baja",'Mapa final'!#REF!="Menor"),CONCATENATE("R2C",'Mapa final'!#REF!),"")</f>
        <v>#REF!</v>
      </c>
      <c r="U47" s="78" t="e">
        <f>IF(AND('Mapa final'!#REF!="Muy Baja",'Mapa final'!#REF!="Menor"),CONCATENATE("R2C",'Mapa final'!#REF!),"")</f>
        <v>#REF!</v>
      </c>
      <c r="V47" s="67" t="str">
        <f>IF(AND('Mapa final'!$Y$26="Muy Baja",'Mapa final'!$AA$26="Moderado"),CONCATENATE("R2C",'Mapa final'!$O$26),"")</f>
        <v/>
      </c>
      <c r="W47" s="68" t="str">
        <f>IF(AND('Mapa final'!$Y$27="Muy Baja",'Mapa final'!$AA$27="Moderado"),CONCATENATE("R2C",'Mapa final'!$O$27),"")</f>
        <v/>
      </c>
      <c r="X47" s="68" t="e">
        <f>IF(AND('Mapa final'!#REF!="Muy Baja",'Mapa final'!#REF!="Moderado"),CONCATENATE("R2C",'Mapa final'!#REF!),"")</f>
        <v>#REF!</v>
      </c>
      <c r="Y47" s="68" t="e">
        <f>IF(AND('Mapa final'!#REF!="Muy Baja",'Mapa final'!#REF!="Moderado"),CONCATENATE("R2C",'Mapa final'!#REF!),"")</f>
        <v>#REF!</v>
      </c>
      <c r="Z47" s="68" t="e">
        <f>IF(AND('Mapa final'!#REF!="Muy Baja",'Mapa final'!#REF!="Moderado"),CONCATENATE("R2C",'Mapa final'!#REF!),"")</f>
        <v>#REF!</v>
      </c>
      <c r="AA47" s="69" t="e">
        <f>IF(AND('Mapa final'!#REF!="Muy Baja",'Mapa final'!#REF!="Moderado"),CONCATENATE("R2C",'Mapa final'!#REF!),"")</f>
        <v>#REF!</v>
      </c>
      <c r="AB47" s="52" t="str">
        <f>IF(AND('Mapa final'!$Y$26="Muy Baja",'Mapa final'!$AA$26="Mayor"),CONCATENATE("R2C",'Mapa final'!$O$26),"")</f>
        <v/>
      </c>
      <c r="AC47" s="53" t="str">
        <f>IF(AND('Mapa final'!$Y$27="Muy Baja",'Mapa final'!$AA$27="Mayor"),CONCATENATE("R2C",'Mapa final'!$O$27),"")</f>
        <v/>
      </c>
      <c r="AD47" s="53" t="e">
        <f>IF(AND('Mapa final'!#REF!="Muy Baja",'Mapa final'!#REF!="Mayor"),CONCATENATE("R2C",'Mapa final'!#REF!),"")</f>
        <v>#REF!</v>
      </c>
      <c r="AE47" s="53" t="e">
        <f>IF(AND('Mapa final'!#REF!="Muy Baja",'Mapa final'!#REF!="Mayor"),CONCATENATE("R2C",'Mapa final'!#REF!),"")</f>
        <v>#REF!</v>
      </c>
      <c r="AF47" s="53" t="e">
        <f>IF(AND('Mapa final'!#REF!="Muy Baja",'Mapa final'!#REF!="Mayor"),CONCATENATE("R2C",'Mapa final'!#REF!),"")</f>
        <v>#REF!</v>
      </c>
      <c r="AG47" s="54" t="e">
        <f>IF(AND('Mapa final'!#REF!="Muy Baja",'Mapa final'!#REF!="Mayor"),CONCATENATE("R2C",'Mapa final'!#REF!),"")</f>
        <v>#REF!</v>
      </c>
      <c r="AH47" s="55" t="str">
        <f>IF(AND('Mapa final'!$Y$26="Muy Baja",'Mapa final'!$AA$26="Catastrófico"),CONCATENATE("R2C",'Mapa final'!$O$26),"")</f>
        <v/>
      </c>
      <c r="AI47" s="56" t="str">
        <f>IF(AND('Mapa final'!$Y$27="Muy Baja",'Mapa final'!$AA$27="Catastrófico"),CONCATENATE("R2C",'Mapa final'!$O$27),"")</f>
        <v/>
      </c>
      <c r="AJ47" s="56" t="e">
        <f>IF(AND('Mapa final'!#REF!="Muy Baja",'Mapa final'!#REF!="Catastrófico"),CONCATENATE("R2C",'Mapa final'!#REF!),"")</f>
        <v>#REF!</v>
      </c>
      <c r="AK47" s="56" t="e">
        <f>IF(AND('Mapa final'!#REF!="Muy Baja",'Mapa final'!#REF!="Catastrófico"),CONCATENATE("R2C",'Mapa final'!#REF!),"")</f>
        <v>#REF!</v>
      </c>
      <c r="AL47" s="56" t="e">
        <f>IF(AND('Mapa final'!#REF!="Muy Baja",'Mapa final'!#REF!="Catastrófico"),CONCATENATE("R2C",'Mapa final'!#REF!),"")</f>
        <v>#REF!</v>
      </c>
      <c r="AM47" s="57" t="e">
        <f>IF(AND('Mapa final'!#REF!="Muy Baja",'Mapa final'!#REF!="Catastrófico"),CONCATENATE("R2C",'Mapa final'!#REF!),"")</f>
        <v>#REF!</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384"/>
      <c r="C48" s="384"/>
      <c r="D48" s="385"/>
      <c r="E48" s="481"/>
      <c r="F48" s="482"/>
      <c r="G48" s="482"/>
      <c r="H48" s="482"/>
      <c r="I48" s="498"/>
      <c r="J48" s="76" t="str">
        <f>IF(AND('Mapa final'!$Y$28="Muy Baja",'Mapa final'!$AA$28="Leve"),CONCATENATE("R3C",'Mapa final'!$O$28),"")</f>
        <v/>
      </c>
      <c r="K48" s="77" t="e">
        <f>IF(AND('Mapa final'!#REF!="Muy Baja",'Mapa final'!#REF!="Leve"),CONCATENATE("R3C",'Mapa final'!#REF!),"")</f>
        <v>#REF!</v>
      </c>
      <c r="L48" s="77" t="e">
        <f>IF(AND('Mapa final'!#REF!="Muy Baja",'Mapa final'!#REF!="Leve"),CONCATENATE("R3C",'Mapa final'!#REF!),"")</f>
        <v>#REF!</v>
      </c>
      <c r="M48" s="77" t="e">
        <f>IF(AND('Mapa final'!#REF!="Muy Baja",'Mapa final'!#REF!="Leve"),CONCATENATE("R3C",'Mapa final'!#REF!),"")</f>
        <v>#REF!</v>
      </c>
      <c r="N48" s="77" t="e">
        <f>IF(AND('Mapa final'!#REF!="Muy Baja",'Mapa final'!#REF!="Leve"),CONCATENATE("R3C",'Mapa final'!#REF!),"")</f>
        <v>#REF!</v>
      </c>
      <c r="O48" s="78" t="e">
        <f>IF(AND('Mapa final'!#REF!="Muy Baja",'Mapa final'!#REF!="Leve"),CONCATENATE("R3C",'Mapa final'!#REF!),"")</f>
        <v>#REF!</v>
      </c>
      <c r="P48" s="76" t="str">
        <f>IF(AND('Mapa final'!$Y$28="Muy Baja",'Mapa final'!$AA$28="Menor"),CONCATENATE("R3C",'Mapa final'!$O$28),"")</f>
        <v/>
      </c>
      <c r="Q48" s="77" t="e">
        <f>IF(AND('Mapa final'!#REF!="Muy Baja",'Mapa final'!#REF!="Menor"),CONCATENATE("R3C",'Mapa final'!#REF!),"")</f>
        <v>#REF!</v>
      </c>
      <c r="R48" s="77" t="e">
        <f>IF(AND('Mapa final'!#REF!="Muy Baja",'Mapa final'!#REF!="Menor"),CONCATENATE("R3C",'Mapa final'!#REF!),"")</f>
        <v>#REF!</v>
      </c>
      <c r="S48" s="77" t="e">
        <f>IF(AND('Mapa final'!#REF!="Muy Baja",'Mapa final'!#REF!="Menor"),CONCATENATE("R3C",'Mapa final'!#REF!),"")</f>
        <v>#REF!</v>
      </c>
      <c r="T48" s="77" t="e">
        <f>IF(AND('Mapa final'!#REF!="Muy Baja",'Mapa final'!#REF!="Menor"),CONCATENATE("R3C",'Mapa final'!#REF!),"")</f>
        <v>#REF!</v>
      </c>
      <c r="U48" s="78" t="e">
        <f>IF(AND('Mapa final'!#REF!="Muy Baja",'Mapa final'!#REF!="Menor"),CONCATENATE("R3C",'Mapa final'!#REF!),"")</f>
        <v>#REF!</v>
      </c>
      <c r="V48" s="67" t="str">
        <f>IF(AND('Mapa final'!$Y$28="Muy Baja",'Mapa final'!$AA$28="Moderado"),CONCATENATE("R3C",'Mapa final'!$O$28),"")</f>
        <v/>
      </c>
      <c r="W48" s="68" t="e">
        <f>IF(AND('Mapa final'!#REF!="Muy Baja",'Mapa final'!#REF!="Moderado"),CONCATENATE("R3C",'Mapa final'!#REF!),"")</f>
        <v>#REF!</v>
      </c>
      <c r="X48" s="68" t="e">
        <f>IF(AND('Mapa final'!#REF!="Muy Baja",'Mapa final'!#REF!="Moderado"),CONCATENATE("R3C",'Mapa final'!#REF!),"")</f>
        <v>#REF!</v>
      </c>
      <c r="Y48" s="68" t="e">
        <f>IF(AND('Mapa final'!#REF!="Muy Baja",'Mapa final'!#REF!="Moderado"),CONCATENATE("R3C",'Mapa final'!#REF!),"")</f>
        <v>#REF!</v>
      </c>
      <c r="Z48" s="68" t="e">
        <f>IF(AND('Mapa final'!#REF!="Muy Baja",'Mapa final'!#REF!="Moderado"),CONCATENATE("R3C",'Mapa final'!#REF!),"")</f>
        <v>#REF!</v>
      </c>
      <c r="AA48" s="69" t="e">
        <f>IF(AND('Mapa final'!#REF!="Muy Baja",'Mapa final'!#REF!="Moderado"),CONCATENATE("R3C",'Mapa final'!#REF!),"")</f>
        <v>#REF!</v>
      </c>
      <c r="AB48" s="52" t="str">
        <f>IF(AND('Mapa final'!$Y$28="Muy Baja",'Mapa final'!$AA$28="Mayor"),CONCATENATE("R3C",'Mapa final'!$O$28),"")</f>
        <v/>
      </c>
      <c r="AC48" s="53" t="e">
        <f>IF(AND('Mapa final'!#REF!="Muy Baja",'Mapa final'!#REF!="Mayor"),CONCATENATE("R3C",'Mapa final'!#REF!),"")</f>
        <v>#REF!</v>
      </c>
      <c r="AD48" s="53" t="e">
        <f>IF(AND('Mapa final'!#REF!="Muy Baja",'Mapa final'!#REF!="Mayor"),CONCATENATE("R3C",'Mapa final'!#REF!),"")</f>
        <v>#REF!</v>
      </c>
      <c r="AE48" s="53" t="e">
        <f>IF(AND('Mapa final'!#REF!="Muy Baja",'Mapa final'!#REF!="Mayor"),CONCATENATE("R3C",'Mapa final'!#REF!),"")</f>
        <v>#REF!</v>
      </c>
      <c r="AF48" s="53" t="e">
        <f>IF(AND('Mapa final'!#REF!="Muy Baja",'Mapa final'!#REF!="Mayor"),CONCATENATE("R3C",'Mapa final'!#REF!),"")</f>
        <v>#REF!</v>
      </c>
      <c r="AG48" s="54" t="e">
        <f>IF(AND('Mapa final'!#REF!="Muy Baja",'Mapa final'!#REF!="Mayor"),CONCATENATE("R3C",'Mapa final'!#REF!),"")</f>
        <v>#REF!</v>
      </c>
      <c r="AH48" s="55" t="str">
        <f>IF(AND('Mapa final'!$Y$28="Muy Baja",'Mapa final'!$AA$28="Catastrófico"),CONCATENATE("R3C",'Mapa final'!$O$28),"")</f>
        <v/>
      </c>
      <c r="AI48" s="56" t="e">
        <f>IF(AND('Mapa final'!#REF!="Muy Baja",'Mapa final'!#REF!="Catastrófico"),CONCATENATE("R3C",'Mapa final'!#REF!),"")</f>
        <v>#REF!</v>
      </c>
      <c r="AJ48" s="56" t="e">
        <f>IF(AND('Mapa final'!#REF!="Muy Baja",'Mapa final'!#REF!="Catastrófico"),CONCATENATE("R3C",'Mapa final'!#REF!),"")</f>
        <v>#REF!</v>
      </c>
      <c r="AK48" s="56" t="e">
        <f>IF(AND('Mapa final'!#REF!="Muy Baja",'Mapa final'!#REF!="Catastrófico"),CONCATENATE("R3C",'Mapa final'!#REF!),"")</f>
        <v>#REF!</v>
      </c>
      <c r="AL48" s="56" t="e">
        <f>IF(AND('Mapa final'!#REF!="Muy Baja",'Mapa final'!#REF!="Catastrófico"),CONCATENATE("R3C",'Mapa final'!#REF!),"")</f>
        <v>#REF!</v>
      </c>
      <c r="AM48" s="57" t="e">
        <f>IF(AND('Mapa final'!#REF!="Muy Baja",'Mapa final'!#REF!="Catastrófico"),CONCATENATE("R3C",'Mapa final'!#REF!),"")</f>
        <v>#REF!</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384"/>
      <c r="C49" s="384"/>
      <c r="D49" s="385"/>
      <c r="E49" s="483"/>
      <c r="F49" s="482"/>
      <c r="G49" s="482"/>
      <c r="H49" s="482"/>
      <c r="I49" s="498"/>
      <c r="J49" s="76" t="e">
        <f>IF(AND('Mapa final'!#REF!="Muy Baja",'Mapa final'!#REF!="Leve"),CONCATENATE("R4C",'Mapa final'!#REF!),"")</f>
        <v>#REF!</v>
      </c>
      <c r="K49" s="77" t="e">
        <f>IF(AND('Mapa final'!#REF!="Muy Baja",'Mapa final'!#REF!="Leve"),CONCATENATE("R4C",'Mapa final'!#REF!),"")</f>
        <v>#REF!</v>
      </c>
      <c r="L49" s="77" t="e">
        <f>IF(AND('Mapa final'!#REF!="Muy Baja",'Mapa final'!#REF!="Leve"),CONCATENATE("R4C",'Mapa final'!#REF!),"")</f>
        <v>#REF!</v>
      </c>
      <c r="M49" s="77" t="e">
        <f>IF(AND('Mapa final'!#REF!="Muy Baja",'Mapa final'!#REF!="Leve"),CONCATENATE("R4C",'Mapa final'!#REF!),"")</f>
        <v>#REF!</v>
      </c>
      <c r="N49" s="77" t="e">
        <f>IF(AND('Mapa final'!#REF!="Muy Baja",'Mapa final'!#REF!="Leve"),CONCATENATE("R4C",'Mapa final'!#REF!),"")</f>
        <v>#REF!</v>
      </c>
      <c r="O49" s="78" t="e">
        <f>IF(AND('Mapa final'!#REF!="Muy Baja",'Mapa final'!#REF!="Leve"),CONCATENATE("R4C",'Mapa final'!#REF!),"")</f>
        <v>#REF!</v>
      </c>
      <c r="P49" s="76" t="e">
        <f>IF(AND('Mapa final'!#REF!="Muy Baja",'Mapa final'!#REF!="Menor"),CONCATENATE("R4C",'Mapa final'!#REF!),"")</f>
        <v>#REF!</v>
      </c>
      <c r="Q49" s="77" t="e">
        <f>IF(AND('Mapa final'!#REF!="Muy Baja",'Mapa final'!#REF!="Menor"),CONCATENATE("R4C",'Mapa final'!#REF!),"")</f>
        <v>#REF!</v>
      </c>
      <c r="R49" s="77" t="e">
        <f>IF(AND('Mapa final'!#REF!="Muy Baja",'Mapa final'!#REF!="Menor"),CONCATENATE("R4C",'Mapa final'!#REF!),"")</f>
        <v>#REF!</v>
      </c>
      <c r="S49" s="77" t="e">
        <f>IF(AND('Mapa final'!#REF!="Muy Baja",'Mapa final'!#REF!="Menor"),CONCATENATE("R4C",'Mapa final'!#REF!),"")</f>
        <v>#REF!</v>
      </c>
      <c r="T49" s="77" t="e">
        <f>IF(AND('Mapa final'!#REF!="Muy Baja",'Mapa final'!#REF!="Menor"),CONCATENATE("R4C",'Mapa final'!#REF!),"")</f>
        <v>#REF!</v>
      </c>
      <c r="U49" s="78" t="e">
        <f>IF(AND('Mapa final'!#REF!="Muy Baja",'Mapa final'!#REF!="Menor"),CONCATENATE("R4C",'Mapa final'!#REF!),"")</f>
        <v>#REF!</v>
      </c>
      <c r="V49" s="67" t="e">
        <f>IF(AND('Mapa final'!#REF!="Muy Baja",'Mapa final'!#REF!="Moderado"),CONCATENATE("R4C",'Mapa final'!#REF!),"")</f>
        <v>#REF!</v>
      </c>
      <c r="W49" s="68" t="e">
        <f>IF(AND('Mapa final'!#REF!="Muy Baja",'Mapa final'!#REF!="Moderado"),CONCATENATE("R4C",'Mapa final'!#REF!),"")</f>
        <v>#REF!</v>
      </c>
      <c r="X49" s="68" t="e">
        <f>IF(AND('Mapa final'!#REF!="Muy Baja",'Mapa final'!#REF!="Moderado"),CONCATENATE("R4C",'Mapa final'!#REF!),"")</f>
        <v>#REF!</v>
      </c>
      <c r="Y49" s="68" t="e">
        <f>IF(AND('Mapa final'!#REF!="Muy Baja",'Mapa final'!#REF!="Moderado"),CONCATENATE("R4C",'Mapa final'!#REF!),"")</f>
        <v>#REF!</v>
      </c>
      <c r="Z49" s="68" t="e">
        <f>IF(AND('Mapa final'!#REF!="Muy Baja",'Mapa final'!#REF!="Moderado"),CONCATENATE("R4C",'Mapa final'!#REF!),"")</f>
        <v>#REF!</v>
      </c>
      <c r="AA49" s="69" t="e">
        <f>IF(AND('Mapa final'!#REF!="Muy Baja",'Mapa final'!#REF!="Moderado"),CONCATENATE("R4C",'Mapa final'!#REF!),"")</f>
        <v>#REF!</v>
      </c>
      <c r="AB49" s="52" t="e">
        <f>IF(AND('Mapa final'!#REF!="Muy Baja",'Mapa final'!#REF!="Mayor"),CONCATENATE("R4C",'Mapa final'!#REF!),"")</f>
        <v>#REF!</v>
      </c>
      <c r="AC49" s="53" t="e">
        <f>IF(AND('Mapa final'!#REF!="Muy Baja",'Mapa final'!#REF!="Mayor"),CONCATENATE("R4C",'Mapa final'!#REF!),"")</f>
        <v>#REF!</v>
      </c>
      <c r="AD49" s="53" t="e">
        <f>IF(AND('Mapa final'!#REF!="Muy Baja",'Mapa final'!#REF!="Mayor"),CONCATENATE("R4C",'Mapa final'!#REF!),"")</f>
        <v>#REF!</v>
      </c>
      <c r="AE49" s="53" t="e">
        <f>IF(AND('Mapa final'!#REF!="Muy Baja",'Mapa final'!#REF!="Mayor"),CONCATENATE("R4C",'Mapa final'!#REF!),"")</f>
        <v>#REF!</v>
      </c>
      <c r="AF49" s="53" t="e">
        <f>IF(AND('Mapa final'!#REF!="Muy Baja",'Mapa final'!#REF!="Mayor"),CONCATENATE("R4C",'Mapa final'!#REF!),"")</f>
        <v>#REF!</v>
      </c>
      <c r="AG49" s="54" t="e">
        <f>IF(AND('Mapa final'!#REF!="Muy Baja",'Mapa final'!#REF!="Mayor"),CONCATENATE("R4C",'Mapa final'!#REF!),"")</f>
        <v>#REF!</v>
      </c>
      <c r="AH49" s="55" t="e">
        <f>IF(AND('Mapa final'!#REF!="Muy Baja",'Mapa final'!#REF!="Catastrófico"),CONCATENATE("R4C",'Mapa final'!#REF!),"")</f>
        <v>#REF!</v>
      </c>
      <c r="AI49" s="56" t="e">
        <f>IF(AND('Mapa final'!#REF!="Muy Baja",'Mapa final'!#REF!="Catastrófico"),CONCATENATE("R4C",'Mapa final'!#REF!),"")</f>
        <v>#REF!</v>
      </c>
      <c r="AJ49" s="56" t="e">
        <f>IF(AND('Mapa final'!#REF!="Muy Baja",'Mapa final'!#REF!="Catastrófico"),CONCATENATE("R4C",'Mapa final'!#REF!),"")</f>
        <v>#REF!</v>
      </c>
      <c r="AK49" s="56" t="e">
        <f>IF(AND('Mapa final'!#REF!="Muy Baja",'Mapa final'!#REF!="Catastrófico"),CONCATENATE("R4C",'Mapa final'!#REF!),"")</f>
        <v>#REF!</v>
      </c>
      <c r="AL49" s="56" t="e">
        <f>IF(AND('Mapa final'!#REF!="Muy Baja",'Mapa final'!#REF!="Catastrófico"),CONCATENATE("R4C",'Mapa final'!#REF!),"")</f>
        <v>#REF!</v>
      </c>
      <c r="AM49" s="57" t="e">
        <f>IF(AND('Mapa final'!#REF!="Muy Baja",'Mapa final'!#REF!="Catastrófico"),CONCATENATE("R4C",'Mapa final'!#REF!),"")</f>
        <v>#REF!</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384"/>
      <c r="C50" s="384"/>
      <c r="D50" s="385"/>
      <c r="E50" s="483"/>
      <c r="F50" s="482"/>
      <c r="G50" s="482"/>
      <c r="H50" s="482"/>
      <c r="I50" s="498"/>
      <c r="J50" s="76" t="e">
        <f>IF(AND('Mapa final'!#REF!="Muy Baja",'Mapa final'!#REF!="Leve"),CONCATENATE("R5C",'Mapa final'!#REF!),"")</f>
        <v>#REF!</v>
      </c>
      <c r="K50" s="77" t="e">
        <f>IF(AND('Mapa final'!#REF!="Muy Baja",'Mapa final'!#REF!="Leve"),CONCATENATE("R5C",'Mapa final'!#REF!),"")</f>
        <v>#REF!</v>
      </c>
      <c r="L50" s="77" t="e">
        <f>IF(AND('Mapa final'!#REF!="Muy Baja",'Mapa final'!#REF!="Leve"),CONCATENATE("R5C",'Mapa final'!#REF!),"")</f>
        <v>#REF!</v>
      </c>
      <c r="M50" s="77" t="e">
        <f>IF(AND('Mapa final'!#REF!="Muy Baja",'Mapa final'!#REF!="Leve"),CONCATENATE("R5C",'Mapa final'!#REF!),"")</f>
        <v>#REF!</v>
      </c>
      <c r="N50" s="77" t="e">
        <f>IF(AND('Mapa final'!#REF!="Muy Baja",'Mapa final'!#REF!="Leve"),CONCATENATE("R5C",'Mapa final'!#REF!),"")</f>
        <v>#REF!</v>
      </c>
      <c r="O50" s="78" t="e">
        <f>IF(AND('Mapa final'!#REF!="Muy Baja",'Mapa final'!#REF!="Leve"),CONCATENATE("R5C",'Mapa final'!#REF!),"")</f>
        <v>#REF!</v>
      </c>
      <c r="P50" s="76" t="e">
        <f>IF(AND('Mapa final'!#REF!="Muy Baja",'Mapa final'!#REF!="Menor"),CONCATENATE("R5C",'Mapa final'!#REF!),"")</f>
        <v>#REF!</v>
      </c>
      <c r="Q50" s="77" t="e">
        <f>IF(AND('Mapa final'!#REF!="Muy Baja",'Mapa final'!#REF!="Menor"),CONCATENATE("R5C",'Mapa final'!#REF!),"")</f>
        <v>#REF!</v>
      </c>
      <c r="R50" s="77" t="e">
        <f>IF(AND('Mapa final'!#REF!="Muy Baja",'Mapa final'!#REF!="Menor"),CONCATENATE("R5C",'Mapa final'!#REF!),"")</f>
        <v>#REF!</v>
      </c>
      <c r="S50" s="77" t="e">
        <f>IF(AND('Mapa final'!#REF!="Muy Baja",'Mapa final'!#REF!="Menor"),CONCATENATE("R5C",'Mapa final'!#REF!),"")</f>
        <v>#REF!</v>
      </c>
      <c r="T50" s="77" t="e">
        <f>IF(AND('Mapa final'!#REF!="Muy Baja",'Mapa final'!#REF!="Menor"),CONCATENATE("R5C",'Mapa final'!#REF!),"")</f>
        <v>#REF!</v>
      </c>
      <c r="U50" s="78" t="e">
        <f>IF(AND('Mapa final'!#REF!="Muy Baja",'Mapa final'!#REF!="Menor"),CONCATENATE("R5C",'Mapa final'!#REF!),"")</f>
        <v>#REF!</v>
      </c>
      <c r="V50" s="67" t="e">
        <f>IF(AND('Mapa final'!#REF!="Muy Baja",'Mapa final'!#REF!="Moderado"),CONCATENATE("R5C",'Mapa final'!#REF!),"")</f>
        <v>#REF!</v>
      </c>
      <c r="W50" s="68" t="e">
        <f>IF(AND('Mapa final'!#REF!="Muy Baja",'Mapa final'!#REF!="Moderado"),CONCATENATE("R5C",'Mapa final'!#REF!),"")</f>
        <v>#REF!</v>
      </c>
      <c r="X50" s="68" t="e">
        <f>IF(AND('Mapa final'!#REF!="Muy Baja",'Mapa final'!#REF!="Moderado"),CONCATENATE("R5C",'Mapa final'!#REF!),"")</f>
        <v>#REF!</v>
      </c>
      <c r="Y50" s="68" t="e">
        <f>IF(AND('Mapa final'!#REF!="Muy Baja",'Mapa final'!#REF!="Moderado"),CONCATENATE("R5C",'Mapa final'!#REF!),"")</f>
        <v>#REF!</v>
      </c>
      <c r="Z50" s="68" t="e">
        <f>IF(AND('Mapa final'!#REF!="Muy Baja",'Mapa final'!#REF!="Moderado"),CONCATENATE("R5C",'Mapa final'!#REF!),"")</f>
        <v>#REF!</v>
      </c>
      <c r="AA50" s="69" t="e">
        <f>IF(AND('Mapa final'!#REF!="Muy Baja",'Mapa final'!#REF!="Moderado"),CONCATENATE("R5C",'Mapa final'!#REF!),"")</f>
        <v>#REF!</v>
      </c>
      <c r="AB50" s="52" t="e">
        <f>IF(AND('Mapa final'!#REF!="Muy Baja",'Mapa final'!#REF!="Mayor"),CONCATENATE("R5C",'Mapa final'!#REF!),"")</f>
        <v>#REF!</v>
      </c>
      <c r="AC50" s="53" t="e">
        <f>IF(AND('Mapa final'!#REF!="Muy Baja",'Mapa final'!#REF!="Mayor"),CONCATENATE("R5C",'Mapa final'!#REF!),"")</f>
        <v>#REF!</v>
      </c>
      <c r="AD50" s="53" t="e">
        <f>IF(AND('Mapa final'!#REF!="Muy Baja",'Mapa final'!#REF!="Mayor"),CONCATENATE("R5C",'Mapa final'!#REF!),"")</f>
        <v>#REF!</v>
      </c>
      <c r="AE50" s="53" t="e">
        <f>IF(AND('Mapa final'!#REF!="Muy Baja",'Mapa final'!#REF!="Mayor"),CONCATENATE("R5C",'Mapa final'!#REF!),"")</f>
        <v>#REF!</v>
      </c>
      <c r="AF50" s="53" t="e">
        <f>IF(AND('Mapa final'!#REF!="Muy Baja",'Mapa final'!#REF!="Mayor"),CONCATENATE("R5C",'Mapa final'!#REF!),"")</f>
        <v>#REF!</v>
      </c>
      <c r="AG50" s="54" t="e">
        <f>IF(AND('Mapa final'!#REF!="Muy Baja",'Mapa final'!#REF!="Mayor"),CONCATENATE("R5C",'Mapa final'!#REF!),"")</f>
        <v>#REF!</v>
      </c>
      <c r="AH50" s="55" t="e">
        <f>IF(AND('Mapa final'!#REF!="Muy Baja",'Mapa final'!#REF!="Catastrófico"),CONCATENATE("R5C",'Mapa final'!#REF!),"")</f>
        <v>#REF!</v>
      </c>
      <c r="AI50" s="56" t="e">
        <f>IF(AND('Mapa final'!#REF!="Muy Baja",'Mapa final'!#REF!="Catastrófico"),CONCATENATE("R5C",'Mapa final'!#REF!),"")</f>
        <v>#REF!</v>
      </c>
      <c r="AJ50" s="56" t="e">
        <f>IF(AND('Mapa final'!#REF!="Muy Baja",'Mapa final'!#REF!="Catastrófico"),CONCATENATE("R5C",'Mapa final'!#REF!),"")</f>
        <v>#REF!</v>
      </c>
      <c r="AK50" s="56" t="e">
        <f>IF(AND('Mapa final'!#REF!="Muy Baja",'Mapa final'!#REF!="Catastrófico"),CONCATENATE("R5C",'Mapa final'!#REF!),"")</f>
        <v>#REF!</v>
      </c>
      <c r="AL50" s="56" t="e">
        <f>IF(AND('Mapa final'!#REF!="Muy Baja",'Mapa final'!#REF!="Catastrófico"),CONCATENATE("R5C",'Mapa final'!#REF!),"")</f>
        <v>#REF!</v>
      </c>
      <c r="AM50" s="57" t="e">
        <f>IF(AND('Mapa final'!#REF!="Muy Baja",'Mapa final'!#REF!="Catastrófico"),CONCATENATE("R5C",'Mapa final'!#REF!),"")</f>
        <v>#REF!</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384"/>
      <c r="C51" s="384"/>
      <c r="D51" s="385"/>
      <c r="E51" s="483"/>
      <c r="F51" s="482"/>
      <c r="G51" s="482"/>
      <c r="H51" s="482"/>
      <c r="I51" s="498"/>
      <c r="J51" s="76" t="e">
        <f>IF(AND('Mapa final'!#REF!="Muy Baja",'Mapa final'!#REF!="Leve"),CONCATENATE("R6C",'Mapa final'!#REF!),"")</f>
        <v>#REF!</v>
      </c>
      <c r="K51" s="77" t="e">
        <f>IF(AND('Mapa final'!#REF!="Muy Baja",'Mapa final'!#REF!="Leve"),CONCATENATE("R6C",'Mapa final'!#REF!),"")</f>
        <v>#REF!</v>
      </c>
      <c r="L51" s="77" t="e">
        <f>IF(AND('Mapa final'!#REF!="Muy Baja",'Mapa final'!#REF!="Leve"),CONCATENATE("R6C",'Mapa final'!#REF!),"")</f>
        <v>#REF!</v>
      </c>
      <c r="M51" s="77" t="e">
        <f>IF(AND('Mapa final'!#REF!="Muy Baja",'Mapa final'!#REF!="Leve"),CONCATENATE("R6C",'Mapa final'!#REF!),"")</f>
        <v>#REF!</v>
      </c>
      <c r="N51" s="77" t="e">
        <f>IF(AND('Mapa final'!#REF!="Muy Baja",'Mapa final'!#REF!="Leve"),CONCATENATE("R6C",'Mapa final'!#REF!),"")</f>
        <v>#REF!</v>
      </c>
      <c r="O51" s="78" t="e">
        <f>IF(AND('Mapa final'!#REF!="Muy Baja",'Mapa final'!#REF!="Leve"),CONCATENATE("R6C",'Mapa final'!#REF!),"")</f>
        <v>#REF!</v>
      </c>
      <c r="P51" s="76" t="e">
        <f>IF(AND('Mapa final'!#REF!="Muy Baja",'Mapa final'!#REF!="Menor"),CONCATENATE("R6C",'Mapa final'!#REF!),"")</f>
        <v>#REF!</v>
      </c>
      <c r="Q51" s="77" t="e">
        <f>IF(AND('Mapa final'!#REF!="Muy Baja",'Mapa final'!#REF!="Menor"),CONCATENATE("R6C",'Mapa final'!#REF!),"")</f>
        <v>#REF!</v>
      </c>
      <c r="R51" s="77" t="e">
        <f>IF(AND('Mapa final'!#REF!="Muy Baja",'Mapa final'!#REF!="Menor"),CONCATENATE("R6C",'Mapa final'!#REF!),"")</f>
        <v>#REF!</v>
      </c>
      <c r="S51" s="77" t="e">
        <f>IF(AND('Mapa final'!#REF!="Muy Baja",'Mapa final'!#REF!="Menor"),CONCATENATE("R6C",'Mapa final'!#REF!),"")</f>
        <v>#REF!</v>
      </c>
      <c r="T51" s="77" t="e">
        <f>IF(AND('Mapa final'!#REF!="Muy Baja",'Mapa final'!#REF!="Menor"),CONCATENATE("R6C",'Mapa final'!#REF!),"")</f>
        <v>#REF!</v>
      </c>
      <c r="U51" s="78" t="e">
        <f>IF(AND('Mapa final'!#REF!="Muy Baja",'Mapa final'!#REF!="Menor"),CONCATENATE("R6C",'Mapa final'!#REF!),"")</f>
        <v>#REF!</v>
      </c>
      <c r="V51" s="67" t="e">
        <f>IF(AND('Mapa final'!#REF!="Muy Baja",'Mapa final'!#REF!="Moderado"),CONCATENATE("R6C",'Mapa final'!#REF!),"")</f>
        <v>#REF!</v>
      </c>
      <c r="W51" s="68" t="e">
        <f>IF(AND('Mapa final'!#REF!="Muy Baja",'Mapa final'!#REF!="Moderado"),CONCATENATE("R6C",'Mapa final'!#REF!),"")</f>
        <v>#REF!</v>
      </c>
      <c r="X51" s="68" t="e">
        <f>IF(AND('Mapa final'!#REF!="Muy Baja",'Mapa final'!#REF!="Moderado"),CONCATENATE("R6C",'Mapa final'!#REF!),"")</f>
        <v>#REF!</v>
      </c>
      <c r="Y51" s="68" t="e">
        <f>IF(AND('Mapa final'!#REF!="Muy Baja",'Mapa final'!#REF!="Moderado"),CONCATENATE("R6C",'Mapa final'!#REF!),"")</f>
        <v>#REF!</v>
      </c>
      <c r="Z51" s="68" t="e">
        <f>IF(AND('Mapa final'!#REF!="Muy Baja",'Mapa final'!#REF!="Moderado"),CONCATENATE("R6C",'Mapa final'!#REF!),"")</f>
        <v>#REF!</v>
      </c>
      <c r="AA51" s="69" t="e">
        <f>IF(AND('Mapa final'!#REF!="Muy Baja",'Mapa final'!#REF!="Moderado"),CONCATENATE("R6C",'Mapa final'!#REF!),"")</f>
        <v>#REF!</v>
      </c>
      <c r="AB51" s="52" t="e">
        <f>IF(AND('Mapa final'!#REF!="Muy Baja",'Mapa final'!#REF!="Mayor"),CONCATENATE("R6C",'Mapa final'!#REF!),"")</f>
        <v>#REF!</v>
      </c>
      <c r="AC51" s="53" t="e">
        <f>IF(AND('Mapa final'!#REF!="Muy Baja",'Mapa final'!#REF!="Mayor"),CONCATENATE("R6C",'Mapa final'!#REF!),"")</f>
        <v>#REF!</v>
      </c>
      <c r="AD51" s="53" t="e">
        <f>IF(AND('Mapa final'!#REF!="Muy Baja",'Mapa final'!#REF!="Mayor"),CONCATENATE("R6C",'Mapa final'!#REF!),"")</f>
        <v>#REF!</v>
      </c>
      <c r="AE51" s="53" t="e">
        <f>IF(AND('Mapa final'!#REF!="Muy Baja",'Mapa final'!#REF!="Mayor"),CONCATENATE("R6C",'Mapa final'!#REF!),"")</f>
        <v>#REF!</v>
      </c>
      <c r="AF51" s="53" t="e">
        <f>IF(AND('Mapa final'!#REF!="Muy Baja",'Mapa final'!#REF!="Mayor"),CONCATENATE("R6C",'Mapa final'!#REF!),"")</f>
        <v>#REF!</v>
      </c>
      <c r="AG51" s="54" t="e">
        <f>IF(AND('Mapa final'!#REF!="Muy Baja",'Mapa final'!#REF!="Mayor"),CONCATENATE("R6C",'Mapa final'!#REF!),"")</f>
        <v>#REF!</v>
      </c>
      <c r="AH51" s="55" t="e">
        <f>IF(AND('Mapa final'!#REF!="Muy Baja",'Mapa final'!#REF!="Catastrófico"),CONCATENATE("R6C",'Mapa final'!#REF!),"")</f>
        <v>#REF!</v>
      </c>
      <c r="AI51" s="56" t="e">
        <f>IF(AND('Mapa final'!#REF!="Muy Baja",'Mapa final'!#REF!="Catastrófico"),CONCATENATE("R6C",'Mapa final'!#REF!),"")</f>
        <v>#REF!</v>
      </c>
      <c r="AJ51" s="56" t="e">
        <f>IF(AND('Mapa final'!#REF!="Muy Baja",'Mapa final'!#REF!="Catastrófico"),CONCATENATE("R6C",'Mapa final'!#REF!),"")</f>
        <v>#REF!</v>
      </c>
      <c r="AK51" s="56" t="e">
        <f>IF(AND('Mapa final'!#REF!="Muy Baja",'Mapa final'!#REF!="Catastrófico"),CONCATENATE("R6C",'Mapa final'!#REF!),"")</f>
        <v>#REF!</v>
      </c>
      <c r="AL51" s="56" t="e">
        <f>IF(AND('Mapa final'!#REF!="Muy Baja",'Mapa final'!#REF!="Catastrófico"),CONCATENATE("R6C",'Mapa final'!#REF!),"")</f>
        <v>#REF!</v>
      </c>
      <c r="AM51" s="57" t="e">
        <f>IF(AND('Mapa final'!#REF!="Muy Baja",'Mapa final'!#REF!="Catastrófico"),CONCATENATE("R6C",'Mapa final'!#REF!),"")</f>
        <v>#REF!</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384"/>
      <c r="C52" s="384"/>
      <c r="D52" s="385"/>
      <c r="E52" s="483"/>
      <c r="F52" s="482"/>
      <c r="G52" s="482"/>
      <c r="H52" s="482"/>
      <c r="I52" s="498"/>
      <c r="J52" s="76" t="e">
        <f>IF(AND('Mapa final'!#REF!="Muy Baja",'Mapa final'!#REF!="Leve"),CONCATENATE("R7C",'Mapa final'!#REF!),"")</f>
        <v>#REF!</v>
      </c>
      <c r="K52" s="77" t="e">
        <f>IF(AND('Mapa final'!#REF!="Muy Baja",'Mapa final'!#REF!="Leve"),CONCATENATE("R7C",'Mapa final'!#REF!),"")</f>
        <v>#REF!</v>
      </c>
      <c r="L52" s="77" t="e">
        <f>IF(AND('Mapa final'!#REF!="Muy Baja",'Mapa final'!#REF!="Leve"),CONCATENATE("R7C",'Mapa final'!#REF!),"")</f>
        <v>#REF!</v>
      </c>
      <c r="M52" s="77" t="e">
        <f>IF(AND('Mapa final'!#REF!="Muy Baja",'Mapa final'!#REF!="Leve"),CONCATENATE("R7C",'Mapa final'!#REF!),"")</f>
        <v>#REF!</v>
      </c>
      <c r="N52" s="77" t="e">
        <f>IF(AND('Mapa final'!#REF!="Muy Baja",'Mapa final'!#REF!="Leve"),CONCATENATE("R7C",'Mapa final'!#REF!),"")</f>
        <v>#REF!</v>
      </c>
      <c r="O52" s="78" t="e">
        <f>IF(AND('Mapa final'!#REF!="Muy Baja",'Mapa final'!#REF!="Leve"),CONCATENATE("R7C",'Mapa final'!#REF!),"")</f>
        <v>#REF!</v>
      </c>
      <c r="P52" s="76" t="e">
        <f>IF(AND('Mapa final'!#REF!="Muy Baja",'Mapa final'!#REF!="Menor"),CONCATENATE("R7C",'Mapa final'!#REF!),"")</f>
        <v>#REF!</v>
      </c>
      <c r="Q52" s="77" t="e">
        <f>IF(AND('Mapa final'!#REF!="Muy Baja",'Mapa final'!#REF!="Menor"),CONCATENATE("R7C",'Mapa final'!#REF!),"")</f>
        <v>#REF!</v>
      </c>
      <c r="R52" s="77" t="e">
        <f>IF(AND('Mapa final'!#REF!="Muy Baja",'Mapa final'!#REF!="Menor"),CONCATENATE("R7C",'Mapa final'!#REF!),"")</f>
        <v>#REF!</v>
      </c>
      <c r="S52" s="77" t="e">
        <f>IF(AND('Mapa final'!#REF!="Muy Baja",'Mapa final'!#REF!="Menor"),CONCATENATE("R7C",'Mapa final'!#REF!),"")</f>
        <v>#REF!</v>
      </c>
      <c r="T52" s="77" t="e">
        <f>IF(AND('Mapa final'!#REF!="Muy Baja",'Mapa final'!#REF!="Menor"),CONCATENATE("R7C",'Mapa final'!#REF!),"")</f>
        <v>#REF!</v>
      </c>
      <c r="U52" s="78" t="e">
        <f>IF(AND('Mapa final'!#REF!="Muy Baja",'Mapa final'!#REF!="Menor"),CONCATENATE("R7C",'Mapa final'!#REF!),"")</f>
        <v>#REF!</v>
      </c>
      <c r="V52" s="67" t="e">
        <f>IF(AND('Mapa final'!#REF!="Muy Baja",'Mapa final'!#REF!="Moderado"),CONCATENATE("R7C",'Mapa final'!#REF!),"")</f>
        <v>#REF!</v>
      </c>
      <c r="W52" s="68" t="e">
        <f>IF(AND('Mapa final'!#REF!="Muy Baja",'Mapa final'!#REF!="Moderado"),CONCATENATE("R7C",'Mapa final'!#REF!),"")</f>
        <v>#REF!</v>
      </c>
      <c r="X52" s="68" t="e">
        <f>IF(AND('Mapa final'!#REF!="Muy Baja",'Mapa final'!#REF!="Moderado"),CONCATENATE("R7C",'Mapa final'!#REF!),"")</f>
        <v>#REF!</v>
      </c>
      <c r="Y52" s="68" t="e">
        <f>IF(AND('Mapa final'!#REF!="Muy Baja",'Mapa final'!#REF!="Moderado"),CONCATENATE("R7C",'Mapa final'!#REF!),"")</f>
        <v>#REF!</v>
      </c>
      <c r="Z52" s="68" t="e">
        <f>IF(AND('Mapa final'!#REF!="Muy Baja",'Mapa final'!#REF!="Moderado"),CONCATENATE("R7C",'Mapa final'!#REF!),"")</f>
        <v>#REF!</v>
      </c>
      <c r="AA52" s="69" t="e">
        <f>IF(AND('Mapa final'!#REF!="Muy Baja",'Mapa final'!#REF!="Moderado"),CONCATENATE("R7C",'Mapa final'!#REF!),"")</f>
        <v>#REF!</v>
      </c>
      <c r="AB52" s="52" t="e">
        <f>IF(AND('Mapa final'!#REF!="Muy Baja",'Mapa final'!#REF!="Mayor"),CONCATENATE("R7C",'Mapa final'!#REF!),"")</f>
        <v>#REF!</v>
      </c>
      <c r="AC52" s="53" t="e">
        <f>IF(AND('Mapa final'!#REF!="Muy Baja",'Mapa final'!#REF!="Mayor"),CONCATENATE("R7C",'Mapa final'!#REF!),"")</f>
        <v>#REF!</v>
      </c>
      <c r="AD52" s="53" t="e">
        <f>IF(AND('Mapa final'!#REF!="Muy Baja",'Mapa final'!#REF!="Mayor"),CONCATENATE("R7C",'Mapa final'!#REF!),"")</f>
        <v>#REF!</v>
      </c>
      <c r="AE52" s="53" t="e">
        <f>IF(AND('Mapa final'!#REF!="Muy Baja",'Mapa final'!#REF!="Mayor"),CONCATENATE("R7C",'Mapa final'!#REF!),"")</f>
        <v>#REF!</v>
      </c>
      <c r="AF52" s="53" t="e">
        <f>IF(AND('Mapa final'!#REF!="Muy Baja",'Mapa final'!#REF!="Mayor"),CONCATENATE("R7C",'Mapa final'!#REF!),"")</f>
        <v>#REF!</v>
      </c>
      <c r="AG52" s="54" t="e">
        <f>IF(AND('Mapa final'!#REF!="Muy Baja",'Mapa final'!#REF!="Mayor"),CONCATENATE("R7C",'Mapa final'!#REF!),"")</f>
        <v>#REF!</v>
      </c>
      <c r="AH52" s="55" t="e">
        <f>IF(AND('Mapa final'!#REF!="Muy Baja",'Mapa final'!#REF!="Catastrófico"),CONCATENATE("R7C",'Mapa final'!#REF!),"")</f>
        <v>#REF!</v>
      </c>
      <c r="AI52" s="56" t="e">
        <f>IF(AND('Mapa final'!#REF!="Muy Baja",'Mapa final'!#REF!="Catastrófico"),CONCATENATE("R7C",'Mapa final'!#REF!),"")</f>
        <v>#REF!</v>
      </c>
      <c r="AJ52" s="56" t="e">
        <f>IF(AND('Mapa final'!#REF!="Muy Baja",'Mapa final'!#REF!="Catastrófico"),CONCATENATE("R7C",'Mapa final'!#REF!),"")</f>
        <v>#REF!</v>
      </c>
      <c r="AK52" s="56" t="e">
        <f>IF(AND('Mapa final'!#REF!="Muy Baja",'Mapa final'!#REF!="Catastrófico"),CONCATENATE("R7C",'Mapa final'!#REF!),"")</f>
        <v>#REF!</v>
      </c>
      <c r="AL52" s="56" t="e">
        <f>IF(AND('Mapa final'!#REF!="Muy Baja",'Mapa final'!#REF!="Catastrófico"),CONCATENATE("R7C",'Mapa final'!#REF!),"")</f>
        <v>#REF!</v>
      </c>
      <c r="AM52" s="57" t="e">
        <f>IF(AND('Mapa final'!#REF!="Muy Baja",'Mapa final'!#REF!="Catastrófico"),CONCATENATE("R7C",'Mapa final'!#REF!),"")</f>
        <v>#REF!</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384"/>
      <c r="C53" s="384"/>
      <c r="D53" s="385"/>
      <c r="E53" s="483"/>
      <c r="F53" s="482"/>
      <c r="G53" s="482"/>
      <c r="H53" s="482"/>
      <c r="I53" s="498"/>
      <c r="J53" s="76" t="str">
        <f>IF(AND('Mapa final'!$Y$29="Muy Baja",'Mapa final'!$AA$29="Leve"),CONCATENATE("R8C",'Mapa final'!$O$29),"")</f>
        <v/>
      </c>
      <c r="K53" s="77" t="e">
        <f>IF(AND('Mapa final'!#REF!="Muy Baja",'Mapa final'!#REF!="Leve"),CONCATENATE("R8C",'Mapa final'!#REF!),"")</f>
        <v>#REF!</v>
      </c>
      <c r="L53" s="77" t="e">
        <f>IF(AND('Mapa final'!#REF!="Muy Baja",'Mapa final'!#REF!="Leve"),CONCATENATE("R8C",'Mapa final'!#REF!),"")</f>
        <v>#REF!</v>
      </c>
      <c r="M53" s="77" t="e">
        <f>IF(AND('Mapa final'!#REF!="Muy Baja",'Mapa final'!#REF!="Leve"),CONCATENATE("R8C",'Mapa final'!#REF!),"")</f>
        <v>#REF!</v>
      </c>
      <c r="N53" s="77" t="e">
        <f>IF(AND('Mapa final'!#REF!="Muy Baja",'Mapa final'!#REF!="Leve"),CONCATENATE("R8C",'Mapa final'!#REF!),"")</f>
        <v>#REF!</v>
      </c>
      <c r="O53" s="78" t="e">
        <f>IF(AND('Mapa final'!#REF!="Muy Baja",'Mapa final'!#REF!="Leve"),CONCATENATE("R8C",'Mapa final'!#REF!),"")</f>
        <v>#REF!</v>
      </c>
      <c r="P53" s="76" t="str">
        <f>IF(AND('Mapa final'!$Y$29="Muy Baja",'Mapa final'!$AA$29="Menor"),CONCATENATE("R8C",'Mapa final'!$O$29),"")</f>
        <v/>
      </c>
      <c r="Q53" s="77" t="e">
        <f>IF(AND('Mapa final'!#REF!="Muy Baja",'Mapa final'!#REF!="Menor"),CONCATENATE("R8C",'Mapa final'!#REF!),"")</f>
        <v>#REF!</v>
      </c>
      <c r="R53" s="77" t="e">
        <f>IF(AND('Mapa final'!#REF!="Muy Baja",'Mapa final'!#REF!="Menor"),CONCATENATE("R8C",'Mapa final'!#REF!),"")</f>
        <v>#REF!</v>
      </c>
      <c r="S53" s="77" t="e">
        <f>IF(AND('Mapa final'!#REF!="Muy Baja",'Mapa final'!#REF!="Menor"),CONCATENATE("R8C",'Mapa final'!#REF!),"")</f>
        <v>#REF!</v>
      </c>
      <c r="T53" s="77" t="e">
        <f>IF(AND('Mapa final'!#REF!="Muy Baja",'Mapa final'!#REF!="Menor"),CONCATENATE("R8C",'Mapa final'!#REF!),"")</f>
        <v>#REF!</v>
      </c>
      <c r="U53" s="78" t="e">
        <f>IF(AND('Mapa final'!#REF!="Muy Baja",'Mapa final'!#REF!="Menor"),CONCATENATE("R8C",'Mapa final'!#REF!),"")</f>
        <v>#REF!</v>
      </c>
      <c r="V53" s="67" t="str">
        <f>IF(AND('Mapa final'!$Y$29="Muy Baja",'Mapa final'!$AA$29="Moderado"),CONCATENATE("R8C",'Mapa final'!$O$29),"")</f>
        <v/>
      </c>
      <c r="W53" s="68" t="e">
        <f>IF(AND('Mapa final'!#REF!="Muy Baja",'Mapa final'!#REF!="Moderado"),CONCATENATE("R8C",'Mapa final'!#REF!),"")</f>
        <v>#REF!</v>
      </c>
      <c r="X53" s="68" t="e">
        <f>IF(AND('Mapa final'!#REF!="Muy Baja",'Mapa final'!#REF!="Moderado"),CONCATENATE("R8C",'Mapa final'!#REF!),"")</f>
        <v>#REF!</v>
      </c>
      <c r="Y53" s="68" t="e">
        <f>IF(AND('Mapa final'!#REF!="Muy Baja",'Mapa final'!#REF!="Moderado"),CONCATENATE("R8C",'Mapa final'!#REF!),"")</f>
        <v>#REF!</v>
      </c>
      <c r="Z53" s="68" t="e">
        <f>IF(AND('Mapa final'!#REF!="Muy Baja",'Mapa final'!#REF!="Moderado"),CONCATENATE("R8C",'Mapa final'!#REF!),"")</f>
        <v>#REF!</v>
      </c>
      <c r="AA53" s="69" t="e">
        <f>IF(AND('Mapa final'!#REF!="Muy Baja",'Mapa final'!#REF!="Moderado"),CONCATENATE("R8C",'Mapa final'!#REF!),"")</f>
        <v>#REF!</v>
      </c>
      <c r="AB53" s="52" t="str">
        <f>IF(AND('Mapa final'!$Y$29="Muy Baja",'Mapa final'!$AA$29="Mayor"),CONCATENATE("R8C",'Mapa final'!$O$29),"")</f>
        <v/>
      </c>
      <c r="AC53" s="53" t="e">
        <f>IF(AND('Mapa final'!#REF!="Muy Baja",'Mapa final'!#REF!="Mayor"),CONCATENATE("R8C",'Mapa final'!#REF!),"")</f>
        <v>#REF!</v>
      </c>
      <c r="AD53" s="53" t="e">
        <f>IF(AND('Mapa final'!#REF!="Muy Baja",'Mapa final'!#REF!="Mayor"),CONCATENATE("R8C",'Mapa final'!#REF!),"")</f>
        <v>#REF!</v>
      </c>
      <c r="AE53" s="53" t="e">
        <f>IF(AND('Mapa final'!#REF!="Muy Baja",'Mapa final'!#REF!="Mayor"),CONCATENATE("R8C",'Mapa final'!#REF!),"")</f>
        <v>#REF!</v>
      </c>
      <c r="AF53" s="53" t="e">
        <f>IF(AND('Mapa final'!#REF!="Muy Baja",'Mapa final'!#REF!="Mayor"),CONCATENATE("R8C",'Mapa final'!#REF!),"")</f>
        <v>#REF!</v>
      </c>
      <c r="AG53" s="54" t="e">
        <f>IF(AND('Mapa final'!#REF!="Muy Baja",'Mapa final'!#REF!="Mayor"),CONCATENATE("R8C",'Mapa final'!#REF!),"")</f>
        <v>#REF!</v>
      </c>
      <c r="AH53" s="55" t="str">
        <f>IF(AND('Mapa final'!$Y$29="Muy Baja",'Mapa final'!$AA$29="Catastrófico"),CONCATENATE("R8C",'Mapa final'!$O$29),"")</f>
        <v/>
      </c>
      <c r="AI53" s="56" t="e">
        <f>IF(AND('Mapa final'!#REF!="Muy Baja",'Mapa final'!#REF!="Catastrófico"),CONCATENATE("R8C",'Mapa final'!#REF!),"")</f>
        <v>#REF!</v>
      </c>
      <c r="AJ53" s="56" t="e">
        <f>IF(AND('Mapa final'!#REF!="Muy Baja",'Mapa final'!#REF!="Catastrófico"),CONCATENATE("R8C",'Mapa final'!#REF!),"")</f>
        <v>#REF!</v>
      </c>
      <c r="AK53" s="56" t="e">
        <f>IF(AND('Mapa final'!#REF!="Muy Baja",'Mapa final'!#REF!="Catastrófico"),CONCATENATE("R8C",'Mapa final'!#REF!),"")</f>
        <v>#REF!</v>
      </c>
      <c r="AL53" s="56" t="e">
        <f>IF(AND('Mapa final'!#REF!="Muy Baja",'Mapa final'!#REF!="Catastrófico"),CONCATENATE("R8C",'Mapa final'!#REF!),"")</f>
        <v>#REF!</v>
      </c>
      <c r="AM53" s="57" t="e">
        <f>IF(AND('Mapa final'!#REF!="Muy Baja",'Mapa final'!#REF!="Catastrófico"),CONCATENATE("R8C",'Mapa final'!#REF!),"")</f>
        <v>#REF!</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384"/>
      <c r="C54" s="384"/>
      <c r="D54" s="385"/>
      <c r="E54" s="483"/>
      <c r="F54" s="482"/>
      <c r="G54" s="482"/>
      <c r="H54" s="482"/>
      <c r="I54" s="498"/>
      <c r="J54" s="76" t="str">
        <f>IF(AND('Mapa final'!$Y$30="Muy Baja",'Mapa final'!$AA$30="Leve"),CONCATENATE("R9C",'Mapa final'!$O$30),"")</f>
        <v/>
      </c>
      <c r="K54" s="77" t="str">
        <f>IF(AND('Mapa final'!$Y$31="Muy Baja",'Mapa final'!$AA$31="Leve"),CONCATENATE("R9C",'Mapa final'!$O$31),"")</f>
        <v/>
      </c>
      <c r="L54" s="77" t="str">
        <f>IF(AND('Mapa final'!$Y$32="Muy Baja",'Mapa final'!$AA$32="Leve"),CONCATENATE("R9C",'Mapa final'!$O$32),"")</f>
        <v/>
      </c>
      <c r="M54" s="77" t="str">
        <f>IF(AND('Mapa final'!$Y$33="Muy Baja",'Mapa final'!$AA$33="Leve"),CONCATENATE("R9C",'Mapa final'!$O$33),"")</f>
        <v/>
      </c>
      <c r="N54" s="77" t="str">
        <f>IF(AND('Mapa final'!$Y$34="Muy Baja",'Mapa final'!$AA$34="Leve"),CONCATENATE("R9C",'Mapa final'!$O$34),"")</f>
        <v/>
      </c>
      <c r="O54" s="78" t="str">
        <f>IF(AND('Mapa final'!$Y$35="Muy Baja",'Mapa final'!$AA$35="Leve"),CONCATENATE("R9C",'Mapa final'!$O$35),"")</f>
        <v/>
      </c>
      <c r="P54" s="76" t="str">
        <f>IF(AND('Mapa final'!$Y$30="Muy Baja",'Mapa final'!$AA$30="Menor"),CONCATENATE("R9C",'Mapa final'!$O$30),"")</f>
        <v/>
      </c>
      <c r="Q54" s="77" t="str">
        <f>IF(AND('Mapa final'!$Y$31="Muy Baja",'Mapa final'!$AA$31="Menor"),CONCATENATE("R9C",'Mapa final'!$O$31),"")</f>
        <v/>
      </c>
      <c r="R54" s="77" t="str">
        <f>IF(AND('Mapa final'!$Y$32="Muy Baja",'Mapa final'!$AA$32="Menor"),CONCATENATE("R9C",'Mapa final'!$O$32),"")</f>
        <v/>
      </c>
      <c r="S54" s="77" t="str">
        <f>IF(AND('Mapa final'!$Y$33="Muy Baja",'Mapa final'!$AA$33="Menor"),CONCATENATE("R9C",'Mapa final'!$O$33),"")</f>
        <v/>
      </c>
      <c r="T54" s="77" t="str">
        <f>IF(AND('Mapa final'!$Y$34="Muy Baja",'Mapa final'!$AA$34="Menor"),CONCATENATE("R9C",'Mapa final'!$O$34),"")</f>
        <v/>
      </c>
      <c r="U54" s="78" t="str">
        <f>IF(AND('Mapa final'!$Y$35="Muy Baja",'Mapa final'!$AA$35="Menor"),CONCATENATE("R9C",'Mapa final'!$O$35),"")</f>
        <v/>
      </c>
      <c r="V54" s="67" t="str">
        <f>IF(AND('Mapa final'!$Y$30="Muy Baja",'Mapa final'!$AA$30="Moderado"),CONCATENATE("R9C",'Mapa final'!$O$30),"")</f>
        <v/>
      </c>
      <c r="W54" s="68" t="str">
        <f>IF(AND('Mapa final'!$Y$31="Muy Baja",'Mapa final'!$AA$31="Moderado"),CONCATENATE("R9C",'Mapa final'!$O$31),"")</f>
        <v/>
      </c>
      <c r="X54" s="68" t="str">
        <f>IF(AND('Mapa final'!$Y$32="Muy Baja",'Mapa final'!$AA$32="Moderado"),CONCATENATE("R9C",'Mapa final'!$O$32),"")</f>
        <v/>
      </c>
      <c r="Y54" s="68" t="str">
        <f>IF(AND('Mapa final'!$Y$33="Muy Baja",'Mapa final'!$AA$33="Moderado"),CONCATENATE("R9C",'Mapa final'!$O$33),"")</f>
        <v/>
      </c>
      <c r="Z54" s="68" t="str">
        <f>IF(AND('Mapa final'!$Y$34="Muy Baja",'Mapa final'!$AA$34="Moderado"),CONCATENATE("R9C",'Mapa final'!$O$34),"")</f>
        <v/>
      </c>
      <c r="AA54" s="69" t="str">
        <f>IF(AND('Mapa final'!$Y$35="Muy Baja",'Mapa final'!$AA$35="Moderado"),CONCATENATE("R9C",'Mapa final'!$O$35),"")</f>
        <v/>
      </c>
      <c r="AB54" s="52" t="str">
        <f>IF(AND('Mapa final'!$Y$30="Muy Baja",'Mapa final'!$AA$30="Mayor"),CONCATENATE("R9C",'Mapa final'!$O$30),"")</f>
        <v/>
      </c>
      <c r="AC54" s="53" t="str">
        <f>IF(AND('Mapa final'!$Y$31="Muy Baja",'Mapa final'!$AA$31="Mayor"),CONCATENATE("R9C",'Mapa final'!$O$31),"")</f>
        <v/>
      </c>
      <c r="AD54" s="53" t="str">
        <f>IF(AND('Mapa final'!$Y$32="Muy Baja",'Mapa final'!$AA$32="Mayor"),CONCATENATE("R9C",'Mapa final'!$O$32),"")</f>
        <v/>
      </c>
      <c r="AE54" s="53" t="str">
        <f>IF(AND('Mapa final'!$Y$33="Muy Baja",'Mapa final'!$AA$33="Mayor"),CONCATENATE("R9C",'Mapa final'!$O$33),"")</f>
        <v/>
      </c>
      <c r="AF54" s="53" t="str">
        <f>IF(AND('Mapa final'!$Y$34="Muy Baja",'Mapa final'!$AA$34="Mayor"),CONCATENATE("R9C",'Mapa final'!$O$34),"")</f>
        <v/>
      </c>
      <c r="AG54" s="54" t="str">
        <f>IF(AND('Mapa final'!$Y$35="Muy Baja",'Mapa final'!$AA$35="Mayor"),CONCATENATE("R9C",'Mapa final'!$O$35),"")</f>
        <v/>
      </c>
      <c r="AH54" s="55" t="str">
        <f>IF(AND('Mapa final'!$Y$30="Muy Baja",'Mapa final'!$AA$30="Catastrófico"),CONCATENATE("R9C",'Mapa final'!$O$30),"")</f>
        <v/>
      </c>
      <c r="AI54" s="56" t="str">
        <f>IF(AND('Mapa final'!$Y$31="Muy Baja",'Mapa final'!$AA$31="Catastrófico"),CONCATENATE("R9C",'Mapa final'!$O$31),"")</f>
        <v/>
      </c>
      <c r="AJ54" s="56" t="str">
        <f>IF(AND('Mapa final'!$Y$32="Muy Baja",'Mapa final'!$AA$32="Catastrófico"),CONCATENATE("R9C",'Mapa final'!$O$32),"")</f>
        <v/>
      </c>
      <c r="AK54" s="56" t="str">
        <f>IF(AND('Mapa final'!$Y$33="Muy Baja",'Mapa final'!$AA$33="Catastrófico"),CONCATENATE("R9C",'Mapa final'!$O$33),"")</f>
        <v/>
      </c>
      <c r="AL54" s="56" t="str">
        <f>IF(AND('Mapa final'!$Y$34="Muy Baja",'Mapa final'!$AA$34="Catastrófico"),CONCATENATE("R9C",'Mapa final'!$O$34),"")</f>
        <v/>
      </c>
      <c r="AM54" s="57" t="str">
        <f>IF(AND('Mapa final'!$Y$35="Muy Baja",'Mapa final'!$AA$35="Catastrófico"),CONCATENATE("R9C",'Mapa final'!$O$35),"")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384"/>
      <c r="C55" s="384"/>
      <c r="D55" s="385"/>
      <c r="E55" s="484"/>
      <c r="F55" s="485"/>
      <c r="G55" s="485"/>
      <c r="H55" s="485"/>
      <c r="I55" s="499"/>
      <c r="J55" s="79" t="str">
        <f>IF(AND('Mapa final'!$Y$36="Muy Baja",'Mapa final'!$AA$36="Leve"),CONCATENATE("R10C",'Mapa final'!$O$36),"")</f>
        <v/>
      </c>
      <c r="K55" s="80" t="str">
        <f>IF(AND('Mapa final'!$Y$37="Muy Baja",'Mapa final'!$AA$37="Leve"),CONCATENATE("R10C",'Mapa final'!$O$37),"")</f>
        <v/>
      </c>
      <c r="L55" s="80" t="str">
        <f>IF(AND('Mapa final'!$Y$38="Muy Baja",'Mapa final'!$AA$38="Leve"),CONCATENATE("R10C",'Mapa final'!$O$38),"")</f>
        <v/>
      </c>
      <c r="M55" s="80" t="str">
        <f>IF(AND('Mapa final'!$Y$39="Muy Baja",'Mapa final'!$AA$39="Leve"),CONCATENATE("R10C",'Mapa final'!$O$39),"")</f>
        <v/>
      </c>
      <c r="N55" s="80" t="str">
        <f>IF(AND('Mapa final'!$Y$40="Muy Baja",'Mapa final'!$AA$40="Leve"),CONCATENATE("R10C",'Mapa final'!$O$40),"")</f>
        <v/>
      </c>
      <c r="O55" s="81" t="str">
        <f>IF(AND('Mapa final'!$Y$41="Muy Baja",'Mapa final'!$AA$41="Leve"),CONCATENATE("R10C",'Mapa final'!$O$41),"")</f>
        <v/>
      </c>
      <c r="P55" s="79" t="str">
        <f>IF(AND('Mapa final'!$Y$36="Muy Baja",'Mapa final'!$AA$36="Menor"),CONCATENATE("R10C",'Mapa final'!$O$36),"")</f>
        <v/>
      </c>
      <c r="Q55" s="80" t="str">
        <f>IF(AND('Mapa final'!$Y$37="Muy Baja",'Mapa final'!$AA$37="Menor"),CONCATENATE("R10C",'Mapa final'!$O$37),"")</f>
        <v/>
      </c>
      <c r="R55" s="80" t="str">
        <f>IF(AND('Mapa final'!$Y$38="Muy Baja",'Mapa final'!$AA$38="Menor"),CONCATENATE("R10C",'Mapa final'!$O$38),"")</f>
        <v/>
      </c>
      <c r="S55" s="80" t="str">
        <f>IF(AND('Mapa final'!$Y$39="Muy Baja",'Mapa final'!$AA$39="Menor"),CONCATENATE("R10C",'Mapa final'!$O$39),"")</f>
        <v/>
      </c>
      <c r="T55" s="80" t="str">
        <f>IF(AND('Mapa final'!$Y$40="Muy Baja",'Mapa final'!$AA$40="Menor"),CONCATENATE("R10C",'Mapa final'!$O$40),"")</f>
        <v/>
      </c>
      <c r="U55" s="81" t="str">
        <f>IF(AND('Mapa final'!$Y$41="Muy Baja",'Mapa final'!$AA$41="Menor"),CONCATENATE("R10C",'Mapa final'!$O$41),"")</f>
        <v/>
      </c>
      <c r="V55" s="70" t="str">
        <f>IF(AND('Mapa final'!$Y$36="Muy Baja",'Mapa final'!$AA$36="Moderado"),CONCATENATE("R10C",'Mapa final'!$O$36),"")</f>
        <v/>
      </c>
      <c r="W55" s="71" t="str">
        <f>IF(AND('Mapa final'!$Y$37="Muy Baja",'Mapa final'!$AA$37="Moderado"),CONCATENATE("R10C",'Mapa final'!$O$37),"")</f>
        <v/>
      </c>
      <c r="X55" s="71" t="str">
        <f>IF(AND('Mapa final'!$Y$38="Muy Baja",'Mapa final'!$AA$38="Moderado"),CONCATENATE("R10C",'Mapa final'!$O$38),"")</f>
        <v/>
      </c>
      <c r="Y55" s="71" t="str">
        <f>IF(AND('Mapa final'!$Y$39="Muy Baja",'Mapa final'!$AA$39="Moderado"),CONCATENATE("R10C",'Mapa final'!$O$39),"")</f>
        <v/>
      </c>
      <c r="Z55" s="71" t="str">
        <f>IF(AND('Mapa final'!$Y$40="Muy Baja",'Mapa final'!$AA$40="Moderado"),CONCATENATE("R10C",'Mapa final'!$O$40),"")</f>
        <v/>
      </c>
      <c r="AA55" s="72" t="str">
        <f>IF(AND('Mapa final'!$Y$41="Muy Baja",'Mapa final'!$AA$41="Moderado"),CONCATENATE("R10C",'Mapa final'!$O$41),"")</f>
        <v/>
      </c>
      <c r="AB55" s="58" t="str">
        <f>IF(AND('Mapa final'!$Y$36="Muy Baja",'Mapa final'!$AA$36="Mayor"),CONCATENATE("R10C",'Mapa final'!$O$36),"")</f>
        <v/>
      </c>
      <c r="AC55" s="59" t="str">
        <f>IF(AND('Mapa final'!$Y$37="Muy Baja",'Mapa final'!$AA$37="Mayor"),CONCATENATE("R10C",'Mapa final'!$O$37),"")</f>
        <v/>
      </c>
      <c r="AD55" s="59" t="str">
        <f>IF(AND('Mapa final'!$Y$38="Muy Baja",'Mapa final'!$AA$38="Mayor"),CONCATENATE("R10C",'Mapa final'!$O$38),"")</f>
        <v/>
      </c>
      <c r="AE55" s="59" t="str">
        <f>IF(AND('Mapa final'!$Y$39="Muy Baja",'Mapa final'!$AA$39="Mayor"),CONCATENATE("R10C",'Mapa final'!$O$39),"")</f>
        <v/>
      </c>
      <c r="AF55" s="59" t="str">
        <f>IF(AND('Mapa final'!$Y$40="Muy Baja",'Mapa final'!$AA$40="Mayor"),CONCATENATE("R10C",'Mapa final'!$O$40),"")</f>
        <v/>
      </c>
      <c r="AG55" s="60" t="str">
        <f>IF(AND('Mapa final'!$Y$41="Muy Baja",'Mapa final'!$AA$41="Mayor"),CONCATENATE("R10C",'Mapa final'!$O$41),"")</f>
        <v/>
      </c>
      <c r="AH55" s="61" t="str">
        <f>IF(AND('Mapa final'!$Y$36="Muy Baja",'Mapa final'!$AA$36="Catastrófico"),CONCATENATE("R10C",'Mapa final'!$O$36),"")</f>
        <v/>
      </c>
      <c r="AI55" s="62" t="str">
        <f>IF(AND('Mapa final'!$Y$37="Muy Baja",'Mapa final'!$AA$37="Catastrófico"),CONCATENATE("R10C",'Mapa final'!$O$37),"")</f>
        <v/>
      </c>
      <c r="AJ55" s="62" t="str">
        <f>IF(AND('Mapa final'!$Y$38="Muy Baja",'Mapa final'!$AA$38="Catastrófico"),CONCATENATE("R10C",'Mapa final'!$O$38),"")</f>
        <v/>
      </c>
      <c r="AK55" s="62" t="str">
        <f>IF(AND('Mapa final'!$Y$39="Muy Baja",'Mapa final'!$AA$39="Catastrófico"),CONCATENATE("R10C",'Mapa final'!$O$39),"")</f>
        <v/>
      </c>
      <c r="AL55" s="62" t="str">
        <f>IF(AND('Mapa final'!$Y$40="Muy Baja",'Mapa final'!$AA$40="Catastrófico"),CONCATENATE("R10C",'Mapa final'!$O$40),"")</f>
        <v/>
      </c>
      <c r="AM55" s="63" t="str">
        <f>IF(AND('Mapa final'!$Y$41="Muy Baja",'Mapa final'!$AA$41="Catastrófico"),CONCATENATE("R10C",'Mapa final'!$O$41),"")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479" t="s">
        <v>101</v>
      </c>
      <c r="K56" s="480"/>
      <c r="L56" s="480"/>
      <c r="M56" s="480"/>
      <c r="N56" s="480"/>
      <c r="O56" s="497"/>
      <c r="P56" s="479" t="s">
        <v>102</v>
      </c>
      <c r="Q56" s="480"/>
      <c r="R56" s="480"/>
      <c r="S56" s="480"/>
      <c r="T56" s="480"/>
      <c r="U56" s="497"/>
      <c r="V56" s="479" t="s">
        <v>103</v>
      </c>
      <c r="W56" s="480"/>
      <c r="X56" s="480"/>
      <c r="Y56" s="480"/>
      <c r="Z56" s="480"/>
      <c r="AA56" s="497"/>
      <c r="AB56" s="479" t="s">
        <v>104</v>
      </c>
      <c r="AC56" s="518"/>
      <c r="AD56" s="480"/>
      <c r="AE56" s="480"/>
      <c r="AF56" s="480"/>
      <c r="AG56" s="497"/>
      <c r="AH56" s="479" t="s">
        <v>105</v>
      </c>
      <c r="AI56" s="480"/>
      <c r="AJ56" s="480"/>
      <c r="AK56" s="480"/>
      <c r="AL56" s="480"/>
      <c r="AM56" s="497"/>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483"/>
      <c r="K57" s="482"/>
      <c r="L57" s="482"/>
      <c r="M57" s="482"/>
      <c r="N57" s="482"/>
      <c r="O57" s="498"/>
      <c r="P57" s="483"/>
      <c r="Q57" s="482"/>
      <c r="R57" s="482"/>
      <c r="S57" s="482"/>
      <c r="T57" s="482"/>
      <c r="U57" s="498"/>
      <c r="V57" s="483"/>
      <c r="W57" s="482"/>
      <c r="X57" s="482"/>
      <c r="Y57" s="482"/>
      <c r="Z57" s="482"/>
      <c r="AA57" s="498"/>
      <c r="AB57" s="483"/>
      <c r="AC57" s="482"/>
      <c r="AD57" s="482"/>
      <c r="AE57" s="482"/>
      <c r="AF57" s="482"/>
      <c r="AG57" s="498"/>
      <c r="AH57" s="483"/>
      <c r="AI57" s="482"/>
      <c r="AJ57" s="482"/>
      <c r="AK57" s="482"/>
      <c r="AL57" s="482"/>
      <c r="AM57" s="498"/>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483"/>
      <c r="K58" s="482"/>
      <c r="L58" s="482"/>
      <c r="M58" s="482"/>
      <c r="N58" s="482"/>
      <c r="O58" s="498"/>
      <c r="P58" s="483"/>
      <c r="Q58" s="482"/>
      <c r="R58" s="482"/>
      <c r="S58" s="482"/>
      <c r="T58" s="482"/>
      <c r="U58" s="498"/>
      <c r="V58" s="483"/>
      <c r="W58" s="482"/>
      <c r="X58" s="482"/>
      <c r="Y58" s="482"/>
      <c r="Z58" s="482"/>
      <c r="AA58" s="498"/>
      <c r="AB58" s="483"/>
      <c r="AC58" s="482"/>
      <c r="AD58" s="482"/>
      <c r="AE58" s="482"/>
      <c r="AF58" s="482"/>
      <c r="AG58" s="498"/>
      <c r="AH58" s="483"/>
      <c r="AI58" s="482"/>
      <c r="AJ58" s="482"/>
      <c r="AK58" s="482"/>
      <c r="AL58" s="482"/>
      <c r="AM58" s="498"/>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483"/>
      <c r="K59" s="482"/>
      <c r="L59" s="482"/>
      <c r="M59" s="482"/>
      <c r="N59" s="482"/>
      <c r="O59" s="498"/>
      <c r="P59" s="483"/>
      <c r="Q59" s="482"/>
      <c r="R59" s="482"/>
      <c r="S59" s="482"/>
      <c r="T59" s="482"/>
      <c r="U59" s="498"/>
      <c r="V59" s="483"/>
      <c r="W59" s="482"/>
      <c r="X59" s="482"/>
      <c r="Y59" s="482"/>
      <c r="Z59" s="482"/>
      <c r="AA59" s="498"/>
      <c r="AB59" s="483"/>
      <c r="AC59" s="482"/>
      <c r="AD59" s="482"/>
      <c r="AE59" s="482"/>
      <c r="AF59" s="482"/>
      <c r="AG59" s="498"/>
      <c r="AH59" s="483"/>
      <c r="AI59" s="482"/>
      <c r="AJ59" s="482"/>
      <c r="AK59" s="482"/>
      <c r="AL59" s="482"/>
      <c r="AM59" s="498"/>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483"/>
      <c r="K60" s="482"/>
      <c r="L60" s="482"/>
      <c r="M60" s="482"/>
      <c r="N60" s="482"/>
      <c r="O60" s="498"/>
      <c r="P60" s="483"/>
      <c r="Q60" s="482"/>
      <c r="R60" s="482"/>
      <c r="S60" s="482"/>
      <c r="T60" s="482"/>
      <c r="U60" s="498"/>
      <c r="V60" s="483"/>
      <c r="W60" s="482"/>
      <c r="X60" s="482"/>
      <c r="Y60" s="482"/>
      <c r="Z60" s="482"/>
      <c r="AA60" s="498"/>
      <c r="AB60" s="483"/>
      <c r="AC60" s="482"/>
      <c r="AD60" s="482"/>
      <c r="AE60" s="482"/>
      <c r="AF60" s="482"/>
      <c r="AG60" s="498"/>
      <c r="AH60" s="483"/>
      <c r="AI60" s="482"/>
      <c r="AJ60" s="482"/>
      <c r="AK60" s="482"/>
      <c r="AL60" s="482"/>
      <c r="AM60" s="498"/>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484"/>
      <c r="K61" s="485"/>
      <c r="L61" s="485"/>
      <c r="M61" s="485"/>
      <c r="N61" s="485"/>
      <c r="O61" s="499"/>
      <c r="P61" s="484"/>
      <c r="Q61" s="485"/>
      <c r="R61" s="485"/>
      <c r="S61" s="485"/>
      <c r="T61" s="485"/>
      <c r="U61" s="499"/>
      <c r="V61" s="484"/>
      <c r="W61" s="485"/>
      <c r="X61" s="485"/>
      <c r="Y61" s="485"/>
      <c r="Z61" s="485"/>
      <c r="AA61" s="499"/>
      <c r="AB61" s="484"/>
      <c r="AC61" s="485"/>
      <c r="AD61" s="485"/>
      <c r="AE61" s="485"/>
      <c r="AF61" s="485"/>
      <c r="AG61" s="499"/>
      <c r="AH61" s="484"/>
      <c r="AI61" s="485"/>
      <c r="AJ61" s="485"/>
      <c r="AK61" s="485"/>
      <c r="AL61" s="485"/>
      <c r="AM61" s="499"/>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8" sqref="C8"/>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19" t="s">
        <v>107</v>
      </c>
      <c r="C1" s="519"/>
      <c r="D1" s="519"/>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108</v>
      </c>
      <c r="D3" s="12" t="s">
        <v>91</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109</v>
      </c>
      <c r="C4" s="14" t="s">
        <v>110</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111</v>
      </c>
      <c r="C5" s="17" t="s">
        <v>112</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113</v>
      </c>
      <c r="C6" s="17" t="s">
        <v>114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115</v>
      </c>
      <c r="C7" s="17" t="s">
        <v>116</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117</v>
      </c>
      <c r="C8" s="17" t="s">
        <v>118</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E4" sqref="D4:E4"/>
    </sheetView>
  </sheetViews>
  <sheetFormatPr baseColWidth="10" defaultColWidth="11.42578125" defaultRowHeight="15" x14ac:dyDescent="0.25"/>
  <cols>
    <col min="1" max="1" width="5.42578125" customWidth="1"/>
    <col min="2" max="2" width="40.42578125" customWidth="1"/>
    <col min="3" max="3" width="69.5703125" customWidth="1"/>
    <col min="4" max="4" width="135" bestFit="1" customWidth="1"/>
    <col min="5" max="5" width="56.140625" customWidth="1"/>
  </cols>
  <sheetData>
    <row r="1" spans="1:21" ht="33.75" x14ac:dyDescent="0.25">
      <c r="A1" s="83"/>
      <c r="B1" s="520" t="s">
        <v>119</v>
      </c>
      <c r="C1" s="520"/>
      <c r="D1" s="520"/>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60" x14ac:dyDescent="0.25">
      <c r="A3" s="83"/>
      <c r="B3" s="104"/>
      <c r="C3" s="36" t="s">
        <v>120</v>
      </c>
      <c r="D3" s="36" t="s">
        <v>121</v>
      </c>
      <c r="E3" s="36" t="s">
        <v>236</v>
      </c>
      <c r="F3" s="83"/>
      <c r="G3" s="83"/>
      <c r="H3" s="83"/>
      <c r="I3" s="83"/>
      <c r="J3" s="83"/>
      <c r="K3" s="83"/>
      <c r="L3" s="83"/>
      <c r="M3" s="83"/>
      <c r="N3" s="83"/>
      <c r="O3" s="83"/>
      <c r="P3" s="83"/>
      <c r="Q3" s="83"/>
      <c r="R3" s="83"/>
      <c r="S3" s="83"/>
      <c r="T3" s="83"/>
      <c r="U3" s="83"/>
    </row>
    <row r="4" spans="1:21" ht="33.75" x14ac:dyDescent="0.25">
      <c r="A4" s="103" t="s">
        <v>122</v>
      </c>
      <c r="B4" s="39" t="s">
        <v>123</v>
      </c>
      <c r="C4" s="44" t="s">
        <v>124</v>
      </c>
      <c r="D4" s="37" t="s">
        <v>125</v>
      </c>
      <c r="E4" s="37" t="s">
        <v>237</v>
      </c>
      <c r="F4" s="83"/>
      <c r="G4" s="83"/>
      <c r="H4" s="83"/>
      <c r="I4" s="83"/>
      <c r="J4" s="83"/>
      <c r="K4" s="83"/>
      <c r="L4" s="83"/>
      <c r="M4" s="83"/>
      <c r="N4" s="83"/>
      <c r="O4" s="83"/>
      <c r="P4" s="83"/>
      <c r="Q4" s="83"/>
      <c r="R4" s="83"/>
      <c r="S4" s="83"/>
      <c r="T4" s="83"/>
      <c r="U4" s="83"/>
    </row>
    <row r="5" spans="1:21" ht="101.25" x14ac:dyDescent="0.25">
      <c r="A5" s="103" t="s">
        <v>126</v>
      </c>
      <c r="B5" s="40" t="s">
        <v>127</v>
      </c>
      <c r="C5" s="45" t="s">
        <v>128</v>
      </c>
      <c r="D5" s="38" t="s">
        <v>241</v>
      </c>
      <c r="E5" s="38" t="s">
        <v>238</v>
      </c>
      <c r="F5" s="83"/>
      <c r="G5" s="83"/>
      <c r="H5" s="83"/>
      <c r="I5" s="83"/>
      <c r="J5" s="83"/>
      <c r="K5" s="83"/>
      <c r="L5" s="83"/>
      <c r="M5" s="83"/>
      <c r="N5" s="83"/>
      <c r="O5" s="83"/>
      <c r="P5" s="83"/>
      <c r="Q5" s="83"/>
      <c r="R5" s="83"/>
      <c r="S5" s="83"/>
      <c r="T5" s="83"/>
      <c r="U5" s="83"/>
    </row>
    <row r="6" spans="1:21" ht="67.5" x14ac:dyDescent="0.25">
      <c r="A6" s="103" t="s">
        <v>97</v>
      </c>
      <c r="B6" s="41" t="s">
        <v>130</v>
      </c>
      <c r="C6" s="45" t="s">
        <v>131</v>
      </c>
      <c r="D6" s="38" t="s">
        <v>132</v>
      </c>
      <c r="E6" s="38" t="s">
        <v>239</v>
      </c>
      <c r="F6" s="83"/>
      <c r="G6" s="83"/>
      <c r="H6" s="83"/>
      <c r="I6" s="83"/>
      <c r="J6" s="83"/>
      <c r="K6" s="83"/>
      <c r="L6" s="83"/>
      <c r="M6" s="83"/>
      <c r="N6" s="83"/>
      <c r="O6" s="83"/>
      <c r="P6" s="83"/>
      <c r="Q6" s="83"/>
      <c r="R6" s="83"/>
      <c r="S6" s="83"/>
      <c r="T6" s="83"/>
      <c r="U6" s="83"/>
    </row>
    <row r="7" spans="1:21" ht="101.25" x14ac:dyDescent="0.25">
      <c r="A7" s="103" t="s">
        <v>133</v>
      </c>
      <c r="B7" s="42" t="s">
        <v>134</v>
      </c>
      <c r="C7" s="45" t="s">
        <v>135</v>
      </c>
      <c r="D7" s="38" t="s">
        <v>136</v>
      </c>
      <c r="E7" s="38" t="s">
        <v>240</v>
      </c>
      <c r="F7" s="83"/>
      <c r="G7" s="83"/>
      <c r="H7" s="83"/>
      <c r="I7" s="83"/>
      <c r="J7" s="83"/>
      <c r="K7" s="83"/>
      <c r="L7" s="83"/>
      <c r="M7" s="83"/>
      <c r="N7" s="83"/>
      <c r="O7" s="83"/>
      <c r="P7" s="83"/>
      <c r="Q7" s="83"/>
      <c r="R7" s="83"/>
      <c r="S7" s="83"/>
      <c r="T7" s="83"/>
      <c r="U7" s="83"/>
    </row>
    <row r="8" spans="1:21" ht="67.5" x14ac:dyDescent="0.25">
      <c r="A8" s="103" t="s">
        <v>137</v>
      </c>
      <c r="B8" s="43" t="s">
        <v>138</v>
      </c>
      <c r="C8" s="45" t="s">
        <v>139</v>
      </c>
      <c r="D8" s="38" t="s">
        <v>140</v>
      </c>
      <c r="E8" s="38" t="s">
        <v>242</v>
      </c>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141</v>
      </c>
      <c r="C11" s="103" t="s">
        <v>142</v>
      </c>
      <c r="D11" s="103" t="s">
        <v>143</v>
      </c>
      <c r="E11" s="83"/>
      <c r="F11" s="83"/>
      <c r="G11" s="83"/>
      <c r="H11" s="83"/>
      <c r="I11" s="83"/>
      <c r="J11" s="83"/>
      <c r="K11" s="83"/>
      <c r="L11" s="83"/>
      <c r="M11" s="83"/>
      <c r="N11" s="83"/>
      <c r="O11" s="83"/>
      <c r="P11" s="83"/>
      <c r="Q11" s="83"/>
      <c r="R11" s="83"/>
      <c r="S11" s="83"/>
      <c r="T11" s="83"/>
      <c r="U11" s="83"/>
    </row>
    <row r="12" spans="1:21" x14ac:dyDescent="0.25">
      <c r="A12" s="103"/>
      <c r="B12" s="103" t="s">
        <v>144</v>
      </c>
      <c r="C12" s="103" t="s">
        <v>145</v>
      </c>
      <c r="D12" s="103" t="s">
        <v>146</v>
      </c>
      <c r="E12" s="83"/>
      <c r="F12" s="83"/>
      <c r="G12" s="83"/>
      <c r="H12" s="83"/>
      <c r="I12" s="83"/>
      <c r="J12" s="83"/>
      <c r="K12" s="83"/>
      <c r="L12" s="83"/>
      <c r="M12" s="83"/>
      <c r="N12" s="83"/>
      <c r="O12" s="83"/>
      <c r="P12" s="83"/>
      <c r="Q12" s="83"/>
      <c r="R12" s="83"/>
      <c r="S12" s="83"/>
      <c r="T12" s="83"/>
      <c r="U12" s="83"/>
    </row>
    <row r="13" spans="1:21" x14ac:dyDescent="0.25">
      <c r="A13" s="103"/>
      <c r="B13" s="103"/>
      <c r="C13" s="103" t="s">
        <v>147</v>
      </c>
      <c r="D13" s="103" t="s">
        <v>148</v>
      </c>
      <c r="E13" s="83"/>
      <c r="F13" s="83"/>
      <c r="G13" s="83"/>
      <c r="H13" s="83"/>
      <c r="I13" s="83"/>
      <c r="J13" s="83"/>
      <c r="K13" s="83"/>
      <c r="L13" s="83"/>
      <c r="M13" s="83"/>
      <c r="N13" s="83"/>
      <c r="O13" s="83"/>
      <c r="P13" s="83"/>
      <c r="Q13" s="83"/>
      <c r="R13" s="83"/>
      <c r="S13" s="83"/>
      <c r="T13" s="83"/>
      <c r="U13" s="83"/>
    </row>
    <row r="14" spans="1:21" x14ac:dyDescent="0.25">
      <c r="A14" s="103"/>
      <c r="B14" s="103"/>
      <c r="C14" s="103" t="s">
        <v>149</v>
      </c>
      <c r="D14" s="103" t="s">
        <v>150</v>
      </c>
      <c r="E14" s="83"/>
      <c r="F14" s="83"/>
      <c r="G14" s="83"/>
      <c r="H14" s="83"/>
      <c r="I14" s="83"/>
      <c r="J14" s="83"/>
      <c r="K14" s="83"/>
      <c r="L14" s="83"/>
      <c r="M14" s="83"/>
      <c r="N14" s="83"/>
      <c r="O14" s="83"/>
      <c r="P14" s="83"/>
      <c r="Q14" s="83"/>
      <c r="R14" s="83"/>
      <c r="S14" s="83"/>
      <c r="T14" s="83"/>
      <c r="U14" s="83"/>
    </row>
    <row r="15" spans="1:21" x14ac:dyDescent="0.25">
      <c r="A15" s="103"/>
      <c r="B15" s="103"/>
      <c r="C15" s="103" t="s">
        <v>151</v>
      </c>
      <c r="D15" s="103" t="s">
        <v>152</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153</v>
      </c>
      <c r="C209" s="30" t="s">
        <v>154</v>
      </c>
      <c r="D209" s="33" t="s">
        <v>153</v>
      </c>
      <c r="E209" s="33" t="s">
        <v>154</v>
      </c>
    </row>
    <row r="210" spans="1:8" ht="21" x14ac:dyDescent="0.35">
      <c r="A210" s="83"/>
      <c r="B210" s="31" t="s">
        <v>155</v>
      </c>
      <c r="C210" s="31" t="s">
        <v>156</v>
      </c>
      <c r="D210" t="s">
        <v>155</v>
      </c>
      <c r="F210" t="str">
        <f>IF(NOT(ISBLANK(D210)),D210,IF(NOT(ISBLANK(E210)),"     "&amp;E210,FALSE))</f>
        <v>Afectación Económica o presupuestal</v>
      </c>
      <c r="G210" t="s">
        <v>155</v>
      </c>
      <c r="H210" t="str">
        <f>IF(NOT(ISERROR(MATCH(G210,_xlfn.ANCHORARRAY(B221),0))),F228&amp;"Por favor no seleccionar los criterios de impacto",G210)</f>
        <v>❌Por favor no seleccionar los criterios de impacto</v>
      </c>
    </row>
    <row r="211" spans="1:8" ht="21" x14ac:dyDescent="0.35">
      <c r="A211" s="83"/>
      <c r="B211" s="31" t="s">
        <v>155</v>
      </c>
      <c r="C211" s="31" t="s">
        <v>128</v>
      </c>
      <c r="E211" t="s">
        <v>156</v>
      </c>
      <c r="F211" t="str">
        <f t="shared" ref="F211:F221" si="0">IF(NOT(ISBLANK(D211)),D211,IF(NOT(ISBLANK(E211)),"     "&amp;E211,FALSE))</f>
        <v xml:space="preserve">     Afectación menor a 10 SMLMV .</v>
      </c>
    </row>
    <row r="212" spans="1:8" ht="21" x14ac:dyDescent="0.35">
      <c r="A212" s="83"/>
      <c r="B212" s="31" t="s">
        <v>155</v>
      </c>
      <c r="C212" s="31" t="s">
        <v>131</v>
      </c>
      <c r="E212" t="s">
        <v>128</v>
      </c>
      <c r="F212" t="str">
        <f t="shared" si="0"/>
        <v xml:space="preserve">     Entre 10 y 50 SMLMV </v>
      </c>
    </row>
    <row r="213" spans="1:8" ht="21" x14ac:dyDescent="0.35">
      <c r="A213" s="83"/>
      <c r="B213" s="31" t="s">
        <v>155</v>
      </c>
      <c r="C213" s="31" t="s">
        <v>135</v>
      </c>
      <c r="E213" t="s">
        <v>131</v>
      </c>
      <c r="F213" t="str">
        <f t="shared" si="0"/>
        <v xml:space="preserve">     Entre 50 y 100 SMLMV </v>
      </c>
    </row>
    <row r="214" spans="1:8" ht="21" x14ac:dyDescent="0.35">
      <c r="A214" s="83"/>
      <c r="B214" s="31" t="s">
        <v>155</v>
      </c>
      <c r="C214" s="31" t="s">
        <v>139</v>
      </c>
      <c r="E214" t="s">
        <v>135</v>
      </c>
      <c r="F214" t="str">
        <f t="shared" si="0"/>
        <v xml:space="preserve">     Entre 100 y 500 SMLMV </v>
      </c>
    </row>
    <row r="215" spans="1:8" ht="21" x14ac:dyDescent="0.35">
      <c r="A215" s="83"/>
      <c r="B215" s="31" t="s">
        <v>121</v>
      </c>
      <c r="C215" s="31" t="s">
        <v>125</v>
      </c>
      <c r="E215" t="s">
        <v>139</v>
      </c>
      <c r="F215" t="str">
        <f t="shared" si="0"/>
        <v xml:space="preserve">     Mayor a 500 SMLMV </v>
      </c>
    </row>
    <row r="216" spans="1:8" ht="21" x14ac:dyDescent="0.35">
      <c r="A216" s="83"/>
      <c r="B216" s="31" t="s">
        <v>121</v>
      </c>
      <c r="C216" s="31" t="s">
        <v>129</v>
      </c>
      <c r="D216" t="s">
        <v>121</v>
      </c>
      <c r="F216" t="str">
        <f t="shared" si="0"/>
        <v>Pérdida Reputacional</v>
      </c>
    </row>
    <row r="217" spans="1:8" ht="21" x14ac:dyDescent="0.35">
      <c r="A217" s="83"/>
      <c r="B217" s="31" t="s">
        <v>121</v>
      </c>
      <c r="C217" s="31" t="s">
        <v>132</v>
      </c>
      <c r="E217" t="s">
        <v>125</v>
      </c>
      <c r="F217" t="str">
        <f t="shared" si="0"/>
        <v xml:space="preserve">     El riesgo afecta la imagen de alguna área de la organización</v>
      </c>
    </row>
    <row r="218" spans="1:8" ht="21" x14ac:dyDescent="0.35">
      <c r="A218" s="83"/>
      <c r="B218" s="31" t="s">
        <v>121</v>
      </c>
      <c r="C218" s="31" t="s">
        <v>136</v>
      </c>
      <c r="E218" t="s">
        <v>129</v>
      </c>
      <c r="F218" t="str">
        <f t="shared" si="0"/>
        <v xml:space="preserve">     El riesgo afecta la imagen de la entidad internamente, de conocimiento general, nivel interno, de junta dircetiva y accionistas y/o de provedores</v>
      </c>
    </row>
    <row r="219" spans="1:8" ht="21" x14ac:dyDescent="0.35">
      <c r="A219" s="83"/>
      <c r="B219" s="31" t="s">
        <v>121</v>
      </c>
      <c r="C219" s="31" t="s">
        <v>140</v>
      </c>
      <c r="E219" t="s">
        <v>132</v>
      </c>
      <c r="F219" t="str">
        <f t="shared" si="0"/>
        <v xml:space="preserve">     El riesgo afecta la imagen de la entidad con algunos usuarios de relevancia frente al logro de los objetivos</v>
      </c>
    </row>
    <row r="220" spans="1:8" x14ac:dyDescent="0.25">
      <c r="A220" s="83"/>
      <c r="B220" s="32"/>
      <c r="C220" s="32"/>
      <c r="E220" t="s">
        <v>136</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140</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c r="F222" t="s">
        <v>236</v>
      </c>
    </row>
    <row r="223" spans="1:8" x14ac:dyDescent="0.25">
      <c r="B223" s="32" t="str">
        <v>Pérdida Reputacional</v>
      </c>
      <c r="C223" s="32"/>
      <c r="F223" t="s">
        <v>237</v>
      </c>
    </row>
    <row r="224" spans="1:8" x14ac:dyDescent="0.25">
      <c r="B224" s="22"/>
      <c r="C224" s="22"/>
      <c r="F224" t="s">
        <v>238</v>
      </c>
    </row>
    <row r="225" spans="2:6" x14ac:dyDescent="0.25">
      <c r="B225" s="22"/>
      <c r="C225" s="22"/>
      <c r="F225" t="s">
        <v>239</v>
      </c>
    </row>
    <row r="226" spans="2:6" x14ac:dyDescent="0.25">
      <c r="B226" s="22"/>
      <c r="C226" s="22"/>
      <c r="F226" t="s">
        <v>240</v>
      </c>
    </row>
    <row r="227" spans="2:6" x14ac:dyDescent="0.25">
      <c r="B227" s="22"/>
      <c r="C227" s="22"/>
      <c r="D227" s="22"/>
      <c r="F227" t="s">
        <v>242</v>
      </c>
    </row>
    <row r="228" spans="2:6" x14ac:dyDescent="0.25">
      <c r="B228" s="22"/>
      <c r="C228" s="22"/>
      <c r="D228" s="22"/>
      <c r="F228" s="35" t="s">
        <v>157</v>
      </c>
    </row>
    <row r="229" spans="2:6" x14ac:dyDescent="0.25">
      <c r="B229" s="22"/>
      <c r="C229" s="22"/>
      <c r="D229" s="22"/>
      <c r="F229" s="35" t="s">
        <v>158</v>
      </c>
    </row>
    <row r="230" spans="2:6" x14ac:dyDescent="0.25">
      <c r="B230" s="22"/>
      <c r="C230" s="22"/>
      <c r="D230" s="22"/>
    </row>
    <row r="231" spans="2:6" x14ac:dyDescent="0.25">
      <c r="B231" s="22"/>
      <c r="C231" s="22"/>
      <c r="D231" s="22"/>
    </row>
    <row r="232" spans="2:6" x14ac:dyDescent="0.25">
      <c r="B232" s="22"/>
      <c r="C232" s="22"/>
      <c r="D232" s="22"/>
    </row>
  </sheetData>
  <mergeCells count="1">
    <mergeCell ref="B1:D1"/>
  </mergeCells>
  <dataValidations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3F611-1DA3-4245-9FA1-19BCDBA48BFC}">
  <sheetPr>
    <tabColor theme="9" tint="-0.249977111117893"/>
  </sheetPr>
  <dimension ref="C2:J16"/>
  <sheetViews>
    <sheetView showGridLines="0" workbookViewId="0">
      <selection activeCell="G16" sqref="G16"/>
    </sheetView>
  </sheetViews>
  <sheetFormatPr baseColWidth="10" defaultColWidth="11.42578125" defaultRowHeight="15.75" x14ac:dyDescent="0.25"/>
  <cols>
    <col min="1" max="3" width="11.42578125" style="176"/>
    <col min="4" max="4" width="25.42578125" style="176" customWidth="1"/>
    <col min="5" max="5" width="22.5703125" style="176" customWidth="1"/>
    <col min="6" max="6" width="23.5703125" style="176" customWidth="1"/>
    <col min="7" max="7" width="45.85546875" style="176" customWidth="1"/>
    <col min="8" max="16384" width="11.42578125" style="176"/>
  </cols>
  <sheetData>
    <row r="2" spans="3:10" ht="16.5" thickBot="1" x14ac:dyDescent="0.3"/>
    <row r="3" spans="3:10" ht="32.25" thickBot="1" x14ac:dyDescent="0.3">
      <c r="C3" s="177" t="s">
        <v>243</v>
      </c>
      <c r="D3" s="178" t="s">
        <v>244</v>
      </c>
      <c r="E3" s="525" t="s">
        <v>245</v>
      </c>
      <c r="F3" s="526"/>
      <c r="G3" s="527"/>
      <c r="J3" s="188" t="s">
        <v>13</v>
      </c>
    </row>
    <row r="4" spans="3:10" x14ac:dyDescent="0.25">
      <c r="C4" s="521">
        <v>1</v>
      </c>
      <c r="D4" s="179" t="s">
        <v>9</v>
      </c>
      <c r="E4" s="180" t="s">
        <v>247</v>
      </c>
      <c r="F4" s="180" t="s">
        <v>249</v>
      </c>
      <c r="G4" s="190" t="s">
        <v>251</v>
      </c>
      <c r="H4" s="191"/>
      <c r="J4" s="189">
        <f>+H4*H6*H9*H11*H13*H15</f>
        <v>0</v>
      </c>
    </row>
    <row r="5" spans="3:10" ht="63.75" thickBot="1" x14ac:dyDescent="0.3">
      <c r="C5" s="522"/>
      <c r="D5" s="181" t="s">
        <v>246</v>
      </c>
      <c r="E5" s="182" t="s">
        <v>248</v>
      </c>
      <c r="F5" s="182" t="s">
        <v>250</v>
      </c>
      <c r="G5" s="184" t="s">
        <v>252</v>
      </c>
    </row>
    <row r="6" spans="3:10" x14ac:dyDescent="0.25">
      <c r="C6" s="521">
        <v>2</v>
      </c>
      <c r="D6" s="179" t="s">
        <v>91</v>
      </c>
      <c r="E6" s="180" t="s">
        <v>255</v>
      </c>
      <c r="F6" s="180" t="s">
        <v>257</v>
      </c>
      <c r="G6" s="190" t="s">
        <v>259</v>
      </c>
      <c r="H6" s="191"/>
    </row>
    <row r="7" spans="3:10" ht="78.75" x14ac:dyDescent="0.25">
      <c r="C7" s="528"/>
      <c r="D7" s="179" t="s">
        <v>253</v>
      </c>
      <c r="E7" s="180" t="s">
        <v>256</v>
      </c>
      <c r="F7" s="180" t="s">
        <v>258</v>
      </c>
      <c r="G7" s="180" t="s">
        <v>260</v>
      </c>
    </row>
    <row r="8" spans="3:10" ht="16.5" thickBot="1" x14ac:dyDescent="0.3">
      <c r="C8" s="522"/>
      <c r="D8" s="181" t="s">
        <v>254</v>
      </c>
      <c r="E8" s="183"/>
      <c r="F8" s="183"/>
      <c r="G8" s="183"/>
    </row>
    <row r="9" spans="3:10" x14ac:dyDescent="0.25">
      <c r="C9" s="521">
        <v>3</v>
      </c>
      <c r="D9" s="179" t="s">
        <v>261</v>
      </c>
      <c r="E9" s="180" t="s">
        <v>263</v>
      </c>
      <c r="F9" s="180" t="s">
        <v>265</v>
      </c>
      <c r="G9" s="190" t="s">
        <v>267</v>
      </c>
      <c r="H9" s="191"/>
    </row>
    <row r="10" spans="3:10" ht="63.75" thickBot="1" x14ac:dyDescent="0.3">
      <c r="C10" s="522"/>
      <c r="D10" s="181" t="s">
        <v>262</v>
      </c>
      <c r="E10" s="182" t="s">
        <v>264</v>
      </c>
      <c r="F10" s="182" t="s">
        <v>266</v>
      </c>
      <c r="G10" s="182" t="s">
        <v>268</v>
      </c>
    </row>
    <row r="11" spans="3:10" x14ac:dyDescent="0.25">
      <c r="C11" s="521">
        <v>4</v>
      </c>
      <c r="D11" s="185" t="s">
        <v>269</v>
      </c>
      <c r="E11" s="186" t="s">
        <v>271</v>
      </c>
      <c r="F11" s="186" t="s">
        <v>272</v>
      </c>
      <c r="G11" s="192" t="s">
        <v>273</v>
      </c>
      <c r="H11" s="191"/>
    </row>
    <row r="12" spans="3:10" ht="111" thickBot="1" x14ac:dyDescent="0.3">
      <c r="C12" s="522"/>
      <c r="D12" s="181" t="s">
        <v>270</v>
      </c>
      <c r="E12" s="182" t="s">
        <v>287</v>
      </c>
      <c r="F12" s="182" t="s">
        <v>286</v>
      </c>
      <c r="G12" s="182" t="s">
        <v>274</v>
      </c>
    </row>
    <row r="13" spans="3:10" x14ac:dyDescent="0.25">
      <c r="C13" s="528">
        <v>5</v>
      </c>
      <c r="D13" s="179" t="s">
        <v>275</v>
      </c>
      <c r="E13" s="180" t="s">
        <v>255</v>
      </c>
      <c r="F13" s="180" t="s">
        <v>278</v>
      </c>
      <c r="G13" s="190" t="s">
        <v>259</v>
      </c>
      <c r="H13" s="191"/>
    </row>
    <row r="14" spans="3:10" ht="79.5" thickBot="1" x14ac:dyDescent="0.3">
      <c r="C14" s="522"/>
      <c r="D14" s="181" t="s">
        <v>276</v>
      </c>
      <c r="E14" s="182" t="s">
        <v>277</v>
      </c>
      <c r="F14" s="182" t="s">
        <v>279</v>
      </c>
      <c r="G14" s="182" t="s">
        <v>280</v>
      </c>
    </row>
    <row r="15" spans="3:10" x14ac:dyDescent="0.25">
      <c r="C15" s="521">
        <v>6</v>
      </c>
      <c r="D15" s="179" t="s">
        <v>281</v>
      </c>
      <c r="E15" s="180" t="s">
        <v>255</v>
      </c>
      <c r="F15" s="523" t="s">
        <v>284</v>
      </c>
      <c r="G15" s="190" t="s">
        <v>259</v>
      </c>
      <c r="H15" s="191"/>
    </row>
    <row r="16" spans="3:10" ht="79.5" thickBot="1" x14ac:dyDescent="0.3">
      <c r="C16" s="522"/>
      <c r="D16" s="181" t="s">
        <v>282</v>
      </c>
      <c r="E16" s="182" t="s">
        <v>283</v>
      </c>
      <c r="F16" s="524"/>
      <c r="G16" s="182" t="s">
        <v>285</v>
      </c>
    </row>
  </sheetData>
  <mergeCells count="8">
    <mergeCell ref="C15:C16"/>
    <mergeCell ref="F15:F16"/>
    <mergeCell ref="E3:G3"/>
    <mergeCell ref="C4:C5"/>
    <mergeCell ref="C6:C8"/>
    <mergeCell ref="C9:C10"/>
    <mergeCell ref="C11:C12"/>
    <mergeCell ref="C13:C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85D157-C6EE-447D-805D-178C1647BEE0}">
  <ds:schemaRefs>
    <ds:schemaRef ds:uri="http://schemas.microsoft.com/sharepoint/v3/contenttype/forms"/>
  </ds:schemaRefs>
</ds:datastoreItem>
</file>

<file path=customXml/itemProps2.xml><?xml version="1.0" encoding="utf-8"?>
<ds:datastoreItem xmlns:ds="http://schemas.openxmlformats.org/officeDocument/2006/customXml" ds:itemID="{67A8DE67-0CB6-4D7D-8686-CB7B53D63E92}">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BDA9A502-A24E-45CA-93CD-A1A47BB41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Instructivo</vt:lpstr>
      <vt:lpstr>Contexto proceso</vt:lpstr>
      <vt:lpstr>Mapa final</vt:lpstr>
      <vt:lpstr>Impacto-clasificacion</vt:lpstr>
      <vt:lpstr>Matriz Calor Inherente</vt:lpstr>
      <vt:lpstr>Matriz Calor Residual</vt:lpstr>
      <vt:lpstr>Tabla probabilidad</vt:lpstr>
      <vt:lpstr>Tabla Impacto</vt:lpstr>
      <vt:lpstr>Criterios riesgos amb.</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Luisa Fernanda Ibagon Moreno</cp:lastModifiedBy>
  <cp:revision/>
  <dcterms:created xsi:type="dcterms:W3CDTF">2020-03-24T23:12:47Z</dcterms:created>
  <dcterms:modified xsi:type="dcterms:W3CDTF">2025-09-29T14:49:40Z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